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958" activeTab="0"/>
  </bookViews>
  <sheets>
    <sheet name="tabella" sheetId="1" r:id="rId1"/>
    <sheet name="őszi rangsor" sheetId="2" r:id="rId2"/>
    <sheet name="Őszi tabella" sheetId="3" r:id="rId3"/>
    <sheet name="Privát" sheetId="4" r:id="rId4"/>
    <sheet name="Santé" sheetId="5" r:id="rId5"/>
    <sheet name="Kalmár" sheetId="6" r:id="rId6"/>
    <sheet name="Kinizsi" sheetId="7" r:id="rId7"/>
    <sheet name="Vörös Ördögök" sheetId="8" r:id="rId8"/>
    <sheet name="Anro ker" sheetId="9" r:id="rId9"/>
    <sheet name="Kék Vércsék" sheetId="10" r:id="rId10"/>
    <sheet name="Euroteke" sheetId="11" r:id="rId11"/>
    <sheet name="Amazonok és Titánok" sheetId="12" r:id="rId12"/>
    <sheet name="Temesvári Hús" sheetId="13" r:id="rId13"/>
    <sheet name="Tápé" sheetId="14" r:id="rId14"/>
    <sheet name="GLB" sheetId="15" r:id="rId15"/>
    <sheet name="Aselec" sheetId="16" r:id="rId16"/>
    <sheet name="EDF Démász" sheetId="17" r:id="rId17"/>
    <sheet name="Gumigyár" sheetId="18" r:id="rId18"/>
    <sheet name="Postás" sheetId="19" r:id="rId19"/>
  </sheets>
  <definedNames/>
  <calcPr fullCalcOnLoad="1"/>
</workbook>
</file>

<file path=xl/sharedStrings.xml><?xml version="1.0" encoding="utf-8"?>
<sst xmlns="http://schemas.openxmlformats.org/spreadsheetml/2006/main" count="2480" uniqueCount="297">
  <si>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</si>
  <si>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</si>
  <si>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</si>
  <si>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</si>
  <si>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</si>
  <si>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</si>
  <si>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</si>
  <si>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</si>
  <si>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</si>
  <si>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</si>
  <si>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</si>
  <si>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</si>
  <si>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</si>
  <si>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</si>
  <si>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</si>
  <si>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Tápé</t>
  </si>
  <si>
    <t>Kalmár</t>
  </si>
  <si>
    <t>Privát</t>
  </si>
  <si>
    <t>Anro Ker</t>
  </si>
  <si>
    <t>Postás</t>
  </si>
  <si>
    <t>Santé</t>
  </si>
  <si>
    <t>Amazonok</t>
  </si>
  <si>
    <t>Ellenfél</t>
  </si>
  <si>
    <t>Kinizsi</t>
  </si>
  <si>
    <t>Dobók</t>
  </si>
  <si>
    <t>mérkőzés eredménye</t>
  </si>
  <si>
    <t>ellenfél</t>
  </si>
  <si>
    <t>Össz. dobott fa</t>
  </si>
  <si>
    <t>fa különbség</t>
  </si>
  <si>
    <t>Olajos Mihály</t>
  </si>
  <si>
    <t>Szabó László</t>
  </si>
  <si>
    <t>Kaufmann Zoltán</t>
  </si>
  <si>
    <t>Gyuris Gábor</t>
  </si>
  <si>
    <t>Pontfogók jelölése</t>
  </si>
  <si>
    <t>Vidács István</t>
  </si>
  <si>
    <t>Mészáros Mihály</t>
  </si>
  <si>
    <t>Bálint József</t>
  </si>
  <si>
    <t>Kővári Árpád</t>
  </si>
  <si>
    <t>Teimel Zoltán</t>
  </si>
  <si>
    <t>Retek Ferenc</t>
  </si>
  <si>
    <t>Ábrahám László</t>
  </si>
  <si>
    <t>Ráczné Erzsi</t>
  </si>
  <si>
    <t>Nagy József</t>
  </si>
  <si>
    <t>Mogyorósi László</t>
  </si>
  <si>
    <t>Kónya János</t>
  </si>
  <si>
    <t>Papp László</t>
  </si>
  <si>
    <t>Török Gábor</t>
  </si>
  <si>
    <t>Csanádiné Ari</t>
  </si>
  <si>
    <t>Pallagi János</t>
  </si>
  <si>
    <t>Pallaginé Piroska</t>
  </si>
  <si>
    <t>Ohátné Böbe</t>
  </si>
  <si>
    <t>Óhidy István</t>
  </si>
  <si>
    <t>Dancsó Antal</t>
  </si>
  <si>
    <t>Moráth László</t>
  </si>
  <si>
    <t>Jaksa Tibor</t>
  </si>
  <si>
    <t>Balogh László</t>
  </si>
  <si>
    <t>Naschitz Károly</t>
  </si>
  <si>
    <t>Zsódi Imre</t>
  </si>
  <si>
    <t>Lázár János</t>
  </si>
  <si>
    <t>Ifj. Bogdán Gábor</t>
  </si>
  <si>
    <t>Bogdán Gábor</t>
  </si>
  <si>
    <t>Péter Csaba</t>
  </si>
  <si>
    <t>Bodócsi László</t>
  </si>
  <si>
    <t>Mladin István</t>
  </si>
  <si>
    <t>Papp Tamás</t>
  </si>
  <si>
    <t>Calbert László</t>
  </si>
  <si>
    <t>Busa Endre</t>
  </si>
  <si>
    <t>Battancs Szilveszter</t>
  </si>
  <si>
    <t>Kerti Róbert</t>
  </si>
  <si>
    <t>Majoros Gyula</t>
  </si>
  <si>
    <t>Kővágóné Ági</t>
  </si>
  <si>
    <t>Fodor József</t>
  </si>
  <si>
    <t>Lengyel József</t>
  </si>
  <si>
    <t>Sári Zoltán</t>
  </si>
  <si>
    <t>Kollár Zsolt</t>
  </si>
  <si>
    <t>Tóth Mihály</t>
  </si>
  <si>
    <t>Kalmár László</t>
  </si>
  <si>
    <t>Balogh József</t>
  </si>
  <si>
    <t>Naschitz Katalin</t>
  </si>
  <si>
    <t>Török József</t>
  </si>
  <si>
    <t>Kovács György</t>
  </si>
  <si>
    <t>Lőrincz Csaba</t>
  </si>
  <si>
    <t>Dobra Ferenc</t>
  </si>
  <si>
    <t>Mracskó Annamária</t>
  </si>
  <si>
    <t>Réperger István</t>
  </si>
  <si>
    <t>Balla Sándor</t>
  </si>
  <si>
    <t>Nagymihály Ferenc</t>
  </si>
  <si>
    <t>Frank Antal</t>
  </si>
  <si>
    <t>Csamangó Csaba</t>
  </si>
  <si>
    <t>Szendrei Zsolt</t>
  </si>
  <si>
    <t>Szanyi Géza</t>
  </si>
  <si>
    <t>Kalmár József</t>
  </si>
  <si>
    <t>Németh József</t>
  </si>
  <si>
    <t>Balázs István</t>
  </si>
  <si>
    <t>Kórász Anna</t>
  </si>
  <si>
    <t>Ferenczi László</t>
  </si>
  <si>
    <t>Pocsainé Zsuzsa</t>
  </si>
  <si>
    <t>Juhász Tibor</t>
  </si>
  <si>
    <t>Bolgár Tamás</t>
  </si>
  <si>
    <t>Nagy-Dani Károly</t>
  </si>
  <si>
    <t>Forró Anita</t>
  </si>
  <si>
    <t>Szerzett pontok</t>
  </si>
  <si>
    <t>Szett állás</t>
  </si>
  <si>
    <t>Össz pontszám:</t>
  </si>
  <si>
    <t>Eperjesi József</t>
  </si>
  <si>
    <t>Gál Zoltán</t>
  </si>
  <si>
    <t>Kovács Béla</t>
  </si>
  <si>
    <t>Gyöngyösi Mária</t>
  </si>
  <si>
    <t>Berek Tibor</t>
  </si>
  <si>
    <t>Horváth Ibolya</t>
  </si>
  <si>
    <t>Vámosi Lukács</t>
  </si>
  <si>
    <t>szett különbség</t>
  </si>
  <si>
    <t>Átlag:</t>
  </si>
  <si>
    <t>csapat átlag:</t>
  </si>
  <si>
    <t>Farkas Ilona</t>
  </si>
  <si>
    <t>Bajorics Csaba</t>
  </si>
  <si>
    <t>Kendrella István</t>
  </si>
  <si>
    <t>hazai mérkőzés</t>
  </si>
  <si>
    <t>idegenbeli mérkőzés</t>
  </si>
  <si>
    <t>Ótott Katalin</t>
  </si>
  <si>
    <t>Kővágó György</t>
  </si>
  <si>
    <t>Tóth Andrea</t>
  </si>
  <si>
    <t>HÉTFŐ</t>
  </si>
  <si>
    <t>17.00</t>
  </si>
  <si>
    <t>KINIZSI  pálya</t>
  </si>
  <si>
    <t>Hazai mérkőzése</t>
  </si>
  <si>
    <t>18.00</t>
  </si>
  <si>
    <t>KISSTADION</t>
  </si>
  <si>
    <t>SZERDA</t>
  </si>
  <si>
    <t>19.00</t>
  </si>
  <si>
    <t>CSÜTÖRTÖK</t>
  </si>
  <si>
    <t>PÉNTEK</t>
  </si>
  <si>
    <t>Bárkai Krisztián</t>
  </si>
  <si>
    <t>Lele József</t>
  </si>
  <si>
    <t>Össz. Szettpont</t>
  </si>
  <si>
    <t>Össz. Pont</t>
  </si>
  <si>
    <t>18. forduló</t>
  </si>
  <si>
    <t>19. forduló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</si>
  <si>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</si>
  <si>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</si>
  <si>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</si>
  <si>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</si>
  <si>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</si>
  <si>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</si>
  <si>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</si>
  <si>
    <t>27. forduló</t>
  </si>
  <si>
    <t>28. forduló</t>
  </si>
  <si>
    <t>29. forduló</t>
  </si>
  <si>
    <t>30. forduló</t>
  </si>
  <si>
    <t>Rangasz Pál</t>
  </si>
  <si>
    <t>Dezső Csaba</t>
  </si>
  <si>
    <t>Wéber Péter</t>
  </si>
  <si>
    <t>Szunyi József</t>
  </si>
  <si>
    <t>Bogdán Tamás</t>
  </si>
  <si>
    <t>Kántor János</t>
  </si>
  <si>
    <t>Huszka Bea</t>
  </si>
  <si>
    <t>Soós Béla</t>
  </si>
  <si>
    <t>Scheibli Zoltán</t>
  </si>
  <si>
    <t>Olajosné Krisztina</t>
  </si>
  <si>
    <t>Tóth Anita</t>
  </si>
  <si>
    <t>Pontszám</t>
  </si>
  <si>
    <t>mérkőzés</t>
  </si>
  <si>
    <t>GY</t>
  </si>
  <si>
    <t>D</t>
  </si>
  <si>
    <t>V</t>
  </si>
  <si>
    <t>Szett pont</t>
  </si>
  <si>
    <t>csapat</t>
  </si>
  <si>
    <t>Domonyi János</t>
  </si>
  <si>
    <t>Benke Zoltán</t>
  </si>
  <si>
    <t>Tót Zsolt</t>
  </si>
  <si>
    <t>Giday Kálmán</t>
  </si>
  <si>
    <t>Papp Ákos</t>
  </si>
  <si>
    <t>Temesvári Ferenc</t>
  </si>
  <si>
    <t>Csentes József</t>
  </si>
  <si>
    <t>Csütörtök</t>
  </si>
  <si>
    <t>16.30</t>
  </si>
  <si>
    <t>Euroteke sörözö Tápé</t>
  </si>
  <si>
    <t>Temesvári Hús</t>
  </si>
  <si>
    <t>Kalmár Motor</t>
  </si>
  <si>
    <t>GLB</t>
  </si>
  <si>
    <t>Euroteke</t>
  </si>
  <si>
    <t>Papp Róbert</t>
  </si>
  <si>
    <t>Ábrahám Máté</t>
  </si>
  <si>
    <t>Bodó Zoltán</t>
  </si>
  <si>
    <t>Kratochwill József</t>
  </si>
  <si>
    <t>Márta Gergő</t>
  </si>
  <si>
    <t>Rajda Csaba</t>
  </si>
  <si>
    <t>2.</t>
  </si>
  <si>
    <t>Kovács Zsolt</t>
  </si>
  <si>
    <t>Nagy János</t>
  </si>
  <si>
    <t>Tóth Tibor</t>
  </si>
  <si>
    <t>Veres Attila</t>
  </si>
  <si>
    <t>össz. mérkőzés</t>
  </si>
  <si>
    <t>Mérkőzések</t>
  </si>
  <si>
    <t>Mérkőzés</t>
  </si>
  <si>
    <t>mérközés</t>
  </si>
  <si>
    <t>Csapat átlag</t>
  </si>
  <si>
    <t>Idegenben ütött össz. fa:</t>
  </si>
  <si>
    <t>idegenben ütött fa:</t>
  </si>
  <si>
    <t>Azonos pontszám, szettpont esetén az idegenben ütött fa számít</t>
  </si>
  <si>
    <t>amit az a táblázatban is látható</t>
  </si>
  <si>
    <t>3.</t>
  </si>
  <si>
    <t>4.</t>
  </si>
  <si>
    <t>5.</t>
  </si>
  <si>
    <t>6.</t>
  </si>
  <si>
    <t>7.</t>
  </si>
  <si>
    <t>8.</t>
  </si>
  <si>
    <t>9.</t>
  </si>
  <si>
    <t>15.</t>
  </si>
  <si>
    <t>16.</t>
  </si>
  <si>
    <t>Tavaszi átlag</t>
  </si>
  <si>
    <t>tavaszi mérkőzés</t>
  </si>
  <si>
    <t>Tavaszi átlag:</t>
  </si>
  <si>
    <t>Tavaszi mérkőzés</t>
  </si>
  <si>
    <t>Tavaszi mérkőzések</t>
  </si>
  <si>
    <t>Szabó Gábor</t>
  </si>
  <si>
    <t>Csuka Zsanett</t>
  </si>
  <si>
    <t>Buri Jenő</t>
  </si>
  <si>
    <t>Gumigyár</t>
  </si>
  <si>
    <t>Vörös Ördögök</t>
  </si>
  <si>
    <t>Amazonok és Titánok</t>
  </si>
  <si>
    <t>Győző-Molnár Krisztina</t>
  </si>
  <si>
    <t>Horváth István</t>
  </si>
  <si>
    <t>id. Faragó Zoltán</t>
  </si>
  <si>
    <t>Szabó Imre</t>
  </si>
  <si>
    <t>Péntek</t>
  </si>
  <si>
    <t>kedd</t>
  </si>
  <si>
    <t>szerda</t>
  </si>
  <si>
    <t>Kinizsi pálya</t>
  </si>
  <si>
    <t>Szabó Sándor</t>
  </si>
  <si>
    <t>Czékmán László</t>
  </si>
  <si>
    <t>Benyhe K Sándor</t>
  </si>
  <si>
    <t>Stercz Péter</t>
  </si>
  <si>
    <t>Lóczi János</t>
  </si>
  <si>
    <t>Bordás László</t>
  </si>
  <si>
    <t>Puskás Bertalan</t>
  </si>
  <si>
    <t>Oláh Gábor</t>
  </si>
  <si>
    <t>1.</t>
  </si>
  <si>
    <t>Száraz-Zsoldi Mária</t>
  </si>
  <si>
    <t>Szigeti Bálint</t>
  </si>
  <si>
    <t>Hajdú Attila</t>
  </si>
  <si>
    <t>Tompáné Panni</t>
  </si>
  <si>
    <t>Péter Norbert</t>
  </si>
  <si>
    <t>Márkus László</t>
  </si>
  <si>
    <t>Bazsó János</t>
  </si>
  <si>
    <t>Andracsek Tibor</t>
  </si>
  <si>
    <t>Angyal Péter</t>
  </si>
  <si>
    <t>Ács Tamás</t>
  </si>
  <si>
    <t>Kis Béla</t>
  </si>
  <si>
    <t>Szombati János</t>
  </si>
  <si>
    <t>Kisstadion</t>
  </si>
  <si>
    <t>Szepesi István</t>
  </si>
  <si>
    <t>Égető Imre</t>
  </si>
  <si>
    <t>Veres Adrien</t>
  </si>
  <si>
    <t>Lovász Tibor</t>
  </si>
  <si>
    <t>név</t>
  </si>
  <si>
    <t>Csapat</t>
  </si>
  <si>
    <t>EDF Démász</t>
  </si>
  <si>
    <t>Aselec</t>
  </si>
  <si>
    <t>Kék Vércsék</t>
  </si>
  <si>
    <t>18.15</t>
  </si>
  <si>
    <t>Kedd</t>
  </si>
  <si>
    <t>18.30</t>
  </si>
  <si>
    <t>Eutoteke</t>
  </si>
  <si>
    <t>Tóth Miklós</t>
  </si>
  <si>
    <t>Veres Zsolt</t>
  </si>
  <si>
    <t>Sáfrány Anita</t>
  </si>
  <si>
    <t>Szabó Attila</t>
  </si>
  <si>
    <t>Sonkoly László</t>
  </si>
  <si>
    <t>ifj. Faragó Zoltán</t>
  </si>
  <si>
    <t>Kaszás Krisztina</t>
  </si>
  <si>
    <t>Horváth Hajnalka</t>
  </si>
  <si>
    <t>Andracek Roland</t>
  </si>
  <si>
    <t>Budai Attila</t>
  </si>
  <si>
    <t>Szabó Károly</t>
  </si>
  <si>
    <t>2014-2015-ös bajnokság pillanatnyi állása</t>
  </si>
  <si>
    <t>őszi átlag</t>
  </si>
  <si>
    <t>Zsibók Zoltán</t>
  </si>
  <si>
    <t>Iványi László</t>
  </si>
  <si>
    <t>Orovecz Róbert</t>
  </si>
  <si>
    <t>Sörös Dóra</t>
  </si>
  <si>
    <t>Palágyiné Gyöngyi</t>
  </si>
  <si>
    <t>Postás SZKSE</t>
  </si>
  <si>
    <t>Igazolt játékosok jelölése.</t>
  </si>
  <si>
    <t>Hódi Tamás</t>
  </si>
  <si>
    <t>Kun Mária</t>
  </si>
  <si>
    <t>16. forduló</t>
  </si>
  <si>
    <t>17. forduló</t>
  </si>
  <si>
    <t>Amzonok</t>
  </si>
  <si>
    <t>10.</t>
  </si>
  <si>
    <t>11.</t>
  </si>
  <si>
    <t>12.</t>
  </si>
  <si>
    <t>13.</t>
  </si>
  <si>
    <t>14.</t>
  </si>
  <si>
    <t>Csiszér Előd</t>
  </si>
  <si>
    <t>Elek Attila</t>
  </si>
  <si>
    <t>Szabi Pál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</si>
</sst>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#,##0\ &quot;Ft&quot;"/>
    <numFmt numFmtId="170" formatCode="[$¥€-2]\ #\ ##,000_);[Red]\([$€-2]\ #\ ##,000\)"/>
  </numFmts>
  <fonts count="5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kkphon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Arial CE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10"/>
      <name val="Arial CE"/>
      <family val="0"/>
    </font>
    <font>
      <sz val="12"/>
      <color indexed="56"/>
      <name val="Times New Roman"/>
      <family val="1"/>
    </font>
    <font>
      <sz val="10"/>
      <color indexed="56"/>
      <name val="Arial CE"/>
      <family val="0"/>
    </font>
    <font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color theme="0"/>
      <name val="Times New Roman"/>
      <family val="2"/>
    </font>
    <font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 CE"/>
      <family val="0"/>
    </font>
    <font>
      <sz val="12"/>
      <color rgb="FF002060"/>
      <name val="Times New Roman"/>
      <family val="1"/>
    </font>
    <font>
      <sz val="10"/>
      <color rgb="FF002060"/>
      <name val="Arial CE"/>
      <family val="0"/>
    </font>
    <font>
      <sz val="10"/>
      <color theme="1"/>
      <name val="Arial CE"/>
      <family val="0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Dashed"/>
      <bottom style="thin"/>
    </border>
    <border>
      <left style="thin"/>
      <right style="medium"/>
      <top style="thin"/>
      <bottom style="mediumDashed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1" fillId="0" borderId="12" xfId="49" applyNumberFormat="1" applyFont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2" fillId="0" borderId="12" xfId="49" applyNumberFormat="1" applyFont="1" applyBorder="1" applyAlignment="1" applyProtection="1">
      <alignment horizontal="center"/>
      <protection/>
    </xf>
    <xf numFmtId="3" fontId="1" fillId="0" borderId="1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7" fillId="0" borderId="12" xfId="49" applyNumberFormat="1" applyFont="1" applyBorder="1" applyAlignment="1" applyProtection="1">
      <alignment horizontal="center"/>
      <protection/>
    </xf>
    <xf numFmtId="3" fontId="7" fillId="0" borderId="11" xfId="49" applyNumberFormat="1" applyFont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3" fontId="11" fillId="0" borderId="11" xfId="49" applyNumberFormat="1" applyFont="1" applyBorder="1" applyAlignment="1" applyProtection="1">
      <alignment horizontal="center"/>
      <protection/>
    </xf>
    <xf numFmtId="3" fontId="12" fillId="0" borderId="11" xfId="49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7" fillId="0" borderId="21" xfId="49" applyNumberFormat="1" applyFont="1" applyBorder="1" applyAlignment="1" applyProtection="1">
      <alignment horizontal="center"/>
      <protection/>
    </xf>
    <xf numFmtId="3" fontId="11" fillId="0" borderId="21" xfId="49" applyNumberFormat="1" applyFont="1" applyBorder="1" applyAlignment="1" applyProtection="1">
      <alignment horizontal="center"/>
      <protection/>
    </xf>
    <xf numFmtId="3" fontId="12" fillId="0" borderId="21" xfId="49" applyNumberFormat="1" applyFont="1" applyBorder="1" applyAlignment="1" applyProtection="1">
      <alignment horizontal="center"/>
      <protection/>
    </xf>
    <xf numFmtId="3" fontId="0" fillId="0" borderId="21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1" fillId="0" borderId="22" xfId="0" applyFont="1" applyFill="1" applyBorder="1" applyAlignment="1">
      <alignment horizontal="center"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3" fontId="41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3" fontId="41" fillId="0" borderId="24" xfId="0" applyNumberFormat="1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3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51" fillId="0" borderId="24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3" fontId="51" fillId="0" borderId="26" xfId="0" applyNumberFormat="1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3" fontId="51" fillId="0" borderId="24" xfId="0" applyNumberFormat="1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/>
    </xf>
    <xf numFmtId="3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3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 vertical="center"/>
    </xf>
    <xf numFmtId="3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3" fontId="51" fillId="0" borderId="0" xfId="0" applyNumberFormat="1" applyFont="1" applyFill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/>
    </xf>
    <xf numFmtId="3" fontId="41" fillId="0" borderId="24" xfId="0" applyNumberFormat="1" applyFont="1" applyBorder="1" applyAlignment="1">
      <alignment horizontal="center"/>
    </xf>
    <xf numFmtId="3" fontId="51" fillId="0" borderId="24" xfId="0" applyNumberFormat="1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3" fontId="51" fillId="0" borderId="0" xfId="0" applyNumberFormat="1" applyFont="1" applyFill="1" applyAlignment="1">
      <alignment horizontal="center"/>
    </xf>
    <xf numFmtId="3" fontId="51" fillId="0" borderId="27" xfId="0" applyNumberFormat="1" applyFont="1" applyFill="1" applyBorder="1" applyAlignment="1">
      <alignment horizontal="center"/>
    </xf>
    <xf numFmtId="3" fontId="51" fillId="0" borderId="24" xfId="0" applyNumberFormat="1" applyFont="1" applyFill="1" applyBorder="1" applyAlignment="1">
      <alignment horizontal="center"/>
    </xf>
    <xf numFmtId="0" fontId="51" fillId="0" borderId="2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7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3" fontId="41" fillId="0" borderId="27" xfId="0" applyNumberFormat="1" applyFont="1" applyBorder="1" applyAlignment="1">
      <alignment horizontal="center"/>
    </xf>
    <xf numFmtId="3" fontId="41" fillId="0" borderId="27" xfId="0" applyNumberFormat="1" applyFont="1" applyBorder="1" applyAlignment="1">
      <alignment horizontal="center"/>
    </xf>
    <xf numFmtId="3" fontId="41" fillId="0" borderId="26" xfId="0" applyNumberFormat="1" applyFont="1" applyBorder="1" applyAlignment="1">
      <alignment horizontal="center"/>
    </xf>
    <xf numFmtId="0" fontId="52" fillId="0" borderId="0" xfId="0" applyFont="1" applyFill="1" applyAlignment="1">
      <alignment/>
    </xf>
    <xf numFmtId="3" fontId="51" fillId="0" borderId="27" xfId="0" applyNumberFormat="1" applyFont="1" applyBorder="1" applyAlignment="1">
      <alignment horizontal="center"/>
    </xf>
    <xf numFmtId="3" fontId="51" fillId="0" borderId="27" xfId="0" applyNumberFormat="1" applyFont="1" applyBorder="1" applyAlignment="1">
      <alignment horizontal="center"/>
    </xf>
    <xf numFmtId="0" fontId="52" fillId="0" borderId="23" xfId="0" applyFont="1" applyFill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41" fillId="36" borderId="0" xfId="0" applyFont="1" applyFill="1" applyBorder="1" applyAlignment="1">
      <alignment horizontal="center"/>
    </xf>
    <xf numFmtId="0" fontId="41" fillId="36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1" fillId="36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1" fillId="36" borderId="0" xfId="0" applyFont="1" applyFill="1" applyAlignment="1">
      <alignment horizontal="center"/>
    </xf>
    <xf numFmtId="0" fontId="41" fillId="36" borderId="28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1" fillId="36" borderId="23" xfId="0" applyFont="1" applyFill="1" applyBorder="1" applyAlignment="1">
      <alignment horizontal="center"/>
    </xf>
    <xf numFmtId="3" fontId="7" fillId="0" borderId="11" xfId="49" applyNumberFormat="1" applyFont="1" applyFill="1" applyBorder="1" applyAlignment="1" applyProtection="1">
      <alignment horizontal="center"/>
      <protection/>
    </xf>
    <xf numFmtId="3" fontId="11" fillId="0" borderId="11" xfId="49" applyNumberFormat="1" applyFont="1" applyFill="1" applyBorder="1" applyAlignment="1" applyProtection="1">
      <alignment horizontal="center"/>
      <protection/>
    </xf>
    <xf numFmtId="3" fontId="12" fillId="0" borderId="11" xfId="49" applyNumberFormat="1" applyFont="1" applyFill="1" applyBorder="1" applyAlignment="1" applyProtection="1">
      <alignment horizontal="center"/>
      <protection/>
    </xf>
    <xf numFmtId="3" fontId="7" fillId="0" borderId="17" xfId="49" applyNumberFormat="1" applyFont="1" applyBorder="1" applyAlignment="1" applyProtection="1">
      <alignment horizontal="center"/>
      <protection/>
    </xf>
    <xf numFmtId="3" fontId="11" fillId="0" borderId="17" xfId="49" applyNumberFormat="1" applyFont="1" applyBorder="1" applyAlignment="1" applyProtection="1">
      <alignment horizontal="center"/>
      <protection/>
    </xf>
    <xf numFmtId="3" fontId="12" fillId="0" borderId="17" xfId="49" applyNumberFormat="1" applyFont="1" applyBorder="1" applyAlignment="1" applyProtection="1">
      <alignment horizontal="center"/>
      <protection/>
    </xf>
    <xf numFmtId="3" fontId="0" fillId="0" borderId="17" xfId="0" applyNumberFormat="1" applyBorder="1" applyAlignment="1">
      <alignment horizontal="center"/>
    </xf>
    <xf numFmtId="0" fontId="41" fillId="36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7" fillId="35" borderId="0" xfId="0" applyFont="1" applyFill="1" applyBorder="1" applyAlignment="1">
      <alignment horizontal="center" wrapText="1"/>
    </xf>
    <xf numFmtId="0" fontId="53" fillId="35" borderId="0" xfId="0" applyFont="1" applyFill="1" applyAlignment="1">
      <alignment horizontal="center"/>
    </xf>
    <xf numFmtId="0" fontId="50" fillId="36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3" fontId="41" fillId="0" borderId="27" xfId="0" applyNumberFormat="1" applyFont="1" applyBorder="1" applyAlignment="1">
      <alignment horizontal="center"/>
    </xf>
    <xf numFmtId="0" fontId="41" fillId="3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36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3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3" fontId="51" fillId="0" borderId="27" xfId="0" applyNumberFormat="1" applyFont="1" applyBorder="1" applyAlignment="1">
      <alignment horizontal="center"/>
    </xf>
    <xf numFmtId="0" fontId="51" fillId="36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36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23" xfId="0" applyFont="1" applyFill="1" applyBorder="1" applyAlignment="1">
      <alignment horizontal="center"/>
    </xf>
    <xf numFmtId="3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1" fillId="36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3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41" fillId="36" borderId="0" xfId="0" applyFont="1" applyFill="1" applyAlignment="1">
      <alignment horizontal="center"/>
    </xf>
    <xf numFmtId="0" fontId="1" fillId="35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51" fillId="36" borderId="24" xfId="0" applyFont="1" applyFill="1" applyBorder="1" applyAlignment="1">
      <alignment horizontal="center"/>
    </xf>
    <xf numFmtId="0" fontId="41" fillId="36" borderId="24" xfId="0" applyFont="1" applyFill="1" applyBorder="1" applyAlignment="1">
      <alignment horizontal="center"/>
    </xf>
    <xf numFmtId="0" fontId="41" fillId="36" borderId="25" xfId="0" applyFont="1" applyFill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2" fillId="36" borderId="0" xfId="0" applyFont="1" applyFill="1" applyAlignment="1">
      <alignment/>
    </xf>
    <xf numFmtId="0" fontId="51" fillId="36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1" fillId="36" borderId="25" xfId="0" applyFont="1" applyFill="1" applyBorder="1" applyAlignment="1">
      <alignment horizontal="center"/>
    </xf>
    <xf numFmtId="0" fontId="50" fillId="36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25"/>
  <sheetViews>
    <sheetView tabSelected="1" zoomScalePageLayoutView="0" workbookViewId="0" topLeftCell="C1">
      <selection activeCell="D6" sqref="D6:O21"/>
    </sheetView>
  </sheetViews>
  <sheetFormatPr defaultColWidth="9.00390625" defaultRowHeight="12.75"/>
  <cols>
    <col min="3" max="3" width="7.625" style="0" customWidth="1"/>
    <col min="4" max="4" width="20.00390625" style="0" customWidth="1"/>
    <col min="5" max="5" width="10.125" style="0" bestFit="1" customWidth="1"/>
    <col min="6" max="6" width="7.375" style="0" customWidth="1"/>
    <col min="7" max="7" width="5.75390625" style="0" customWidth="1"/>
    <col min="8" max="8" width="6.125" style="0" customWidth="1"/>
    <col min="9" max="9" width="5.875" style="0" customWidth="1"/>
    <col min="10" max="10" width="5.625" style="0" customWidth="1"/>
    <col min="11" max="11" width="15.875" style="0" bestFit="1" customWidth="1"/>
    <col min="12" max="12" width="10.00390625" style="0" bestFit="1" customWidth="1"/>
    <col min="13" max="13" width="24.75390625" style="0" bestFit="1" customWidth="1"/>
    <col min="14" max="14" width="13.125" style="0" bestFit="1" customWidth="1"/>
    <col min="15" max="15" width="24.75390625" style="0" bestFit="1" customWidth="1"/>
  </cols>
  <sheetData>
    <row r="3" spans="3:14" ht="15.75">
      <c r="C3" s="301" t="s">
        <v>275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ht="13.5" thickBot="1"/>
    <row r="5" spans="3:15" ht="16.5" thickBot="1">
      <c r="C5" s="291"/>
      <c r="D5" s="51" t="s">
        <v>166</v>
      </c>
      <c r="E5" s="51" t="s">
        <v>161</v>
      </c>
      <c r="F5" s="48" t="s">
        <v>162</v>
      </c>
      <c r="G5" s="52" t="s">
        <v>163</v>
      </c>
      <c r="H5" s="49" t="s">
        <v>164</v>
      </c>
      <c r="I5" s="302" t="s">
        <v>165</v>
      </c>
      <c r="J5" s="303"/>
      <c r="K5" s="51" t="s">
        <v>111</v>
      </c>
      <c r="L5" s="51" t="s">
        <v>160</v>
      </c>
      <c r="M5" s="46" t="s">
        <v>197</v>
      </c>
      <c r="N5" s="46" t="s">
        <v>196</v>
      </c>
      <c r="O5" s="53" t="s">
        <v>27</v>
      </c>
    </row>
    <row r="6" spans="3:15" ht="15.75">
      <c r="C6" s="75" t="s">
        <v>237</v>
      </c>
      <c r="D6" s="24" t="s">
        <v>23</v>
      </c>
      <c r="E6" s="24">
        <f>Kinizsi!V47</f>
        <v>30</v>
      </c>
      <c r="F6" s="24">
        <f>Kinizsi!T44</f>
        <v>26</v>
      </c>
      <c r="G6" s="24">
        <f>Kinizsi!U44</f>
        <v>1</v>
      </c>
      <c r="H6" s="24">
        <f>Kinizsi!V44</f>
        <v>3</v>
      </c>
      <c r="I6" s="184">
        <f>Kinizsi!J2</f>
        <v>171</v>
      </c>
      <c r="J6" s="184">
        <f>Kinizsi!K2</f>
        <v>69</v>
      </c>
      <c r="K6" s="185">
        <f>Kinizsi!M2</f>
        <v>102</v>
      </c>
      <c r="L6" s="186">
        <f>Kinizsi!L2</f>
        <v>53</v>
      </c>
      <c r="M6" s="56">
        <f>Kinizsi!P2</f>
        <v>39739</v>
      </c>
      <c r="N6" s="54">
        <f>Kinizsi!P49</f>
        <v>2649.5</v>
      </c>
      <c r="O6" s="69">
        <f>Kinizsi!O47</f>
        <v>79485</v>
      </c>
    </row>
    <row r="7" spans="3:15" ht="15.75">
      <c r="C7" s="67" t="s">
        <v>187</v>
      </c>
      <c r="D7" s="281" t="s">
        <v>219</v>
      </c>
      <c r="E7" s="25">
        <f>'Vörös Ördögök'!U47</f>
        <v>30</v>
      </c>
      <c r="F7" s="25">
        <f>'Vörös Ördögök'!S44</f>
        <v>21</v>
      </c>
      <c r="G7" s="25">
        <f>'Vörös Ördögök'!T44</f>
        <v>1</v>
      </c>
      <c r="H7" s="25">
        <f>'Vörös Ördögök'!U44</f>
        <v>8</v>
      </c>
      <c r="I7" s="44">
        <f>'Vörös Ördögök'!L2</f>
        <v>147</v>
      </c>
      <c r="J7" s="44">
        <f>'Vörös Ördögök'!M2</f>
        <v>93</v>
      </c>
      <c r="K7" s="282">
        <f>'Vörös Ördögök'!O2</f>
        <v>54</v>
      </c>
      <c r="L7" s="283">
        <f>'Vörös Ördögök'!N2</f>
        <v>43</v>
      </c>
      <c r="M7" s="44">
        <f>'Vörös Ördögök'!R2</f>
        <v>38989</v>
      </c>
      <c r="N7" s="284">
        <f>'Vörös Ördögök'!O49</f>
        <v>2600.7</v>
      </c>
      <c r="O7" s="44">
        <f>'Vörös Ördögök'!N47</f>
        <v>78021</v>
      </c>
    </row>
    <row r="8" spans="3:15" ht="15.75">
      <c r="C8" s="67" t="s">
        <v>201</v>
      </c>
      <c r="D8" s="25" t="s">
        <v>180</v>
      </c>
      <c r="E8" s="25">
        <f>Euroteke!T47</f>
        <v>30</v>
      </c>
      <c r="F8" s="25">
        <f>Euroteke!R44</f>
        <v>20</v>
      </c>
      <c r="G8" s="25">
        <f>Euroteke!S44</f>
        <v>0</v>
      </c>
      <c r="H8" s="25">
        <f>Euroteke!T44</f>
        <v>10</v>
      </c>
      <c r="I8" s="68">
        <f>Euroteke!J2</f>
        <v>131</v>
      </c>
      <c r="J8" s="68">
        <f>Euroteke!L2</f>
        <v>109</v>
      </c>
      <c r="K8" s="45">
        <f>Euroteke!N2</f>
        <v>22</v>
      </c>
      <c r="L8" s="55">
        <f>Euroteke!M2</f>
        <v>40</v>
      </c>
      <c r="M8" s="44">
        <f>Euroteke!Q2</f>
        <v>38185</v>
      </c>
      <c r="N8" s="47">
        <f>Euroteke!N49</f>
        <v>2476.633333333333</v>
      </c>
      <c r="O8" s="68">
        <f>Euroteke!M47</f>
        <v>74299</v>
      </c>
    </row>
    <row r="9" spans="3:15" ht="16.5" thickBot="1">
      <c r="C9" s="287" t="s">
        <v>202</v>
      </c>
      <c r="D9" s="76" t="s">
        <v>178</v>
      </c>
      <c r="E9" s="76">
        <f>Kalmár!U47</f>
        <v>30</v>
      </c>
      <c r="F9" s="76">
        <f>Kalmár!S44</f>
        <v>18</v>
      </c>
      <c r="G9" s="76">
        <f>Kalmár!T44</f>
        <v>3</v>
      </c>
      <c r="H9" s="76">
        <f>Kalmár!U44</f>
        <v>9</v>
      </c>
      <c r="I9" s="78">
        <f>Kalmár!H2</f>
        <v>133</v>
      </c>
      <c r="J9" s="78">
        <f>Kalmár!I2</f>
        <v>107</v>
      </c>
      <c r="K9" s="79">
        <f>Kalmár!K2</f>
        <v>26</v>
      </c>
      <c r="L9" s="80">
        <f>Kalmár!J2</f>
        <v>39</v>
      </c>
      <c r="M9" s="77">
        <f>Kalmár!O2</f>
        <v>38268</v>
      </c>
      <c r="N9" s="81">
        <f>Kalmár!O49</f>
        <v>2576.4</v>
      </c>
      <c r="O9" s="78">
        <f>Kalmár!N47</f>
        <v>77292</v>
      </c>
    </row>
    <row r="10" spans="3:15" ht="15.75">
      <c r="C10" s="288" t="s">
        <v>203</v>
      </c>
      <c r="D10" s="24" t="s">
        <v>15</v>
      </c>
      <c r="E10" s="24">
        <f>Tápé!T48</f>
        <v>30</v>
      </c>
      <c r="F10" s="24">
        <f>Tápé!R45</f>
        <v>19</v>
      </c>
      <c r="G10" s="24">
        <f>Tápé!S45</f>
        <v>1</v>
      </c>
      <c r="H10" s="24">
        <f>Tápé!T45</f>
        <v>10</v>
      </c>
      <c r="I10" s="69">
        <f>Tápé!I2</f>
        <v>133</v>
      </c>
      <c r="J10" s="69">
        <f>Tápé!J2</f>
        <v>107</v>
      </c>
      <c r="K10" s="73">
        <f>Tápé!L2</f>
        <v>26</v>
      </c>
      <c r="L10" s="74">
        <f>Tápé!K2</f>
        <v>39</v>
      </c>
      <c r="M10" s="56">
        <f>Tápé!N2</f>
        <v>38142</v>
      </c>
      <c r="N10" s="54">
        <f>Tápé!N50</f>
        <v>2561.3333333333335</v>
      </c>
      <c r="O10" s="69">
        <f>Tápé!M48</f>
        <v>76840</v>
      </c>
    </row>
    <row r="11" spans="3:15" ht="15.75">
      <c r="C11" s="289" t="s">
        <v>204</v>
      </c>
      <c r="D11" s="25" t="s">
        <v>179</v>
      </c>
      <c r="E11" s="25">
        <f>GLB!U48</f>
        <v>30</v>
      </c>
      <c r="F11" s="25">
        <f>GLB!S45</f>
        <v>17</v>
      </c>
      <c r="G11" s="25">
        <f>GLB!T45</f>
        <v>2</v>
      </c>
      <c r="H11" s="25">
        <f>GLB!U45</f>
        <v>11</v>
      </c>
      <c r="I11" s="68">
        <f>GLB!J2</f>
        <v>135</v>
      </c>
      <c r="J11" s="68">
        <f>GLB!L2</f>
        <v>105</v>
      </c>
      <c r="K11" s="45">
        <f>GLB!N2</f>
        <v>30</v>
      </c>
      <c r="L11" s="55">
        <f>GLB!M2</f>
        <v>36</v>
      </c>
      <c r="M11" s="44">
        <f>GLB!Q2</f>
        <v>38939</v>
      </c>
      <c r="N11" s="47">
        <f>GLB!O50</f>
        <v>2611.5666666666666</v>
      </c>
      <c r="O11" s="68">
        <f>GLB!N48</f>
        <v>78347</v>
      </c>
    </row>
    <row r="12" spans="3:15" ht="15.75">
      <c r="C12" s="289" t="s">
        <v>205</v>
      </c>
      <c r="D12" s="25" t="s">
        <v>17</v>
      </c>
      <c r="E12" s="44">
        <f>Privát!U47</f>
        <v>30</v>
      </c>
      <c r="F12" s="25">
        <f>Privát!S44</f>
        <v>17</v>
      </c>
      <c r="G12" s="25">
        <f>Privát!T44</f>
        <v>0</v>
      </c>
      <c r="H12" s="25">
        <f>Privát!U44</f>
        <v>13</v>
      </c>
      <c r="I12" s="68">
        <f>Privát!G2</f>
        <v>125</v>
      </c>
      <c r="J12" s="68">
        <f>Privát!H2</f>
        <v>115</v>
      </c>
      <c r="K12" s="45">
        <f>Privát!L2</f>
        <v>10</v>
      </c>
      <c r="L12" s="55">
        <f>Privát!I2</f>
        <v>34</v>
      </c>
      <c r="M12" s="44">
        <f>Privát!O2</f>
        <v>38482</v>
      </c>
      <c r="N12" s="47">
        <f>Privát!Q49</f>
        <v>2586.5</v>
      </c>
      <c r="O12" s="68">
        <f>Privát!N47</f>
        <v>77595</v>
      </c>
    </row>
    <row r="13" spans="3:15" ht="16.5" thickBot="1">
      <c r="C13" s="290" t="s">
        <v>206</v>
      </c>
      <c r="D13" s="76" t="s">
        <v>20</v>
      </c>
      <c r="E13" s="76">
        <f>Santé!T47</f>
        <v>30</v>
      </c>
      <c r="F13" s="76">
        <f>Santé!R44</f>
        <v>15</v>
      </c>
      <c r="G13" s="76">
        <f>Santé!S44</f>
        <v>2</v>
      </c>
      <c r="H13" s="76">
        <f>Santé!T44</f>
        <v>13</v>
      </c>
      <c r="I13" s="78">
        <f>Santé!H2</f>
        <v>126</v>
      </c>
      <c r="J13" s="78">
        <f>Santé!I2</f>
        <v>114</v>
      </c>
      <c r="K13" s="79">
        <f>Santé!K2</f>
        <v>12</v>
      </c>
      <c r="L13" s="80">
        <f>Santé!J2</f>
        <v>32</v>
      </c>
      <c r="M13" s="77">
        <f>Santé!O2</f>
        <v>37161</v>
      </c>
      <c r="N13" s="81">
        <f>Santé!N49</f>
        <v>2544.3333333333335</v>
      </c>
      <c r="O13" s="78">
        <f>Santé!M47</f>
        <v>76330</v>
      </c>
    </row>
    <row r="14" spans="3:15" ht="15.75">
      <c r="C14" s="75" t="s">
        <v>207</v>
      </c>
      <c r="D14" s="24" t="s">
        <v>218</v>
      </c>
      <c r="E14" s="56">
        <f>Gumigyár!U47</f>
        <v>30</v>
      </c>
      <c r="F14" s="56">
        <f>Gumigyár!S44</f>
        <v>13</v>
      </c>
      <c r="G14" s="56">
        <f>Gumigyár!T44</f>
        <v>2</v>
      </c>
      <c r="H14" s="56">
        <f>Gumigyár!U44</f>
        <v>15</v>
      </c>
      <c r="I14" s="69">
        <f>Gumigyár!J2</f>
        <v>116</v>
      </c>
      <c r="J14" s="69">
        <f>Gumigyár!K2</f>
        <v>124</v>
      </c>
      <c r="K14" s="73">
        <f>Gumigyár!M2</f>
        <v>-8</v>
      </c>
      <c r="L14" s="74">
        <f>Gumigyár!L2</f>
        <v>28</v>
      </c>
      <c r="M14" s="56">
        <f>Gumigyár!O2</f>
        <v>38046</v>
      </c>
      <c r="N14" s="54">
        <f>Gumigyár!O49</f>
        <v>2535.266666666667</v>
      </c>
      <c r="O14" s="69">
        <f>Gumigyár!N47</f>
        <v>76058</v>
      </c>
    </row>
    <row r="15" spans="3:15" ht="15.75">
      <c r="C15" s="67" t="s">
        <v>289</v>
      </c>
      <c r="D15" s="25" t="s">
        <v>18</v>
      </c>
      <c r="E15" s="25">
        <f>'Anro ker'!S48</f>
        <v>30</v>
      </c>
      <c r="F15" s="25">
        <f>'Anro ker'!Q45</f>
        <v>14</v>
      </c>
      <c r="G15" s="25">
        <f>'Anro ker'!R45</f>
        <v>0</v>
      </c>
      <c r="H15" s="25">
        <f>'Anro ker'!S45</f>
        <v>16</v>
      </c>
      <c r="I15" s="68">
        <f>'Anro ker'!G2</f>
        <v>115</v>
      </c>
      <c r="J15" s="68">
        <f>'Anro ker'!H2</f>
        <v>125</v>
      </c>
      <c r="K15" s="45">
        <f>'Anro ker'!J2</f>
        <v>-10</v>
      </c>
      <c r="L15" s="55">
        <f>'Anro ker'!I2</f>
        <v>28</v>
      </c>
      <c r="M15" s="44">
        <f>'Anro ker'!M2</f>
        <v>37952</v>
      </c>
      <c r="N15" s="47">
        <f>'Anro ker'!M50</f>
        <v>2542.766666666667</v>
      </c>
      <c r="O15" s="68">
        <f>'Anro ker'!L48</f>
        <v>76283</v>
      </c>
    </row>
    <row r="16" spans="3:15" ht="15.75">
      <c r="C16" s="67" t="s">
        <v>290</v>
      </c>
      <c r="D16" s="25" t="s">
        <v>220</v>
      </c>
      <c r="E16" s="25">
        <f>'Amazonok és Titánok'!U47</f>
        <v>30</v>
      </c>
      <c r="F16" s="25">
        <f>'Amazonok és Titánok'!R44</f>
        <v>13</v>
      </c>
      <c r="G16" s="25">
        <f>'Amazonok és Titánok'!S44</f>
        <v>1</v>
      </c>
      <c r="H16" s="25">
        <f>'Amazonok és Titánok'!T44</f>
        <v>16</v>
      </c>
      <c r="I16" s="68">
        <f>'Amazonok és Titánok'!H2</f>
        <v>109</v>
      </c>
      <c r="J16" s="68">
        <f>'Amazonok és Titánok'!I2</f>
        <v>131</v>
      </c>
      <c r="K16" s="45">
        <f>'Amazonok és Titánok'!K2</f>
        <v>-22</v>
      </c>
      <c r="L16" s="55">
        <f>'Amazonok és Titánok'!J2</f>
        <v>27</v>
      </c>
      <c r="M16" s="44">
        <f>'Amazonok és Titánok'!N2</f>
        <v>37627</v>
      </c>
      <c r="N16" s="47">
        <f>'Amazonok és Titánok'!O49</f>
        <v>2523.0666666666666</v>
      </c>
      <c r="O16" s="68">
        <f>'Amazonok és Titánok'!N47</f>
        <v>75692</v>
      </c>
    </row>
    <row r="17" spans="3:15" ht="16.5" thickBot="1">
      <c r="C17" s="290" t="s">
        <v>291</v>
      </c>
      <c r="D17" s="76" t="s">
        <v>177</v>
      </c>
      <c r="E17" s="298">
        <f>'Temesvári Hús'!S48</f>
        <v>30</v>
      </c>
      <c r="F17" s="76">
        <f>'Temesvári Hús'!Q45</f>
        <v>11</v>
      </c>
      <c r="G17" s="76">
        <f>'Temesvári Hús'!R45</f>
        <v>3</v>
      </c>
      <c r="H17" s="76">
        <f>'Temesvári Hús'!S45</f>
        <v>16</v>
      </c>
      <c r="I17" s="78">
        <f>'Temesvári Hús'!I2</f>
        <v>117</v>
      </c>
      <c r="J17" s="78">
        <f>'Temesvári Hús'!J2</f>
        <v>123</v>
      </c>
      <c r="K17" s="79">
        <f>'Temesvári Hús'!L2</f>
        <v>-6</v>
      </c>
      <c r="L17" s="80">
        <f>'Temesvári Hús'!K2</f>
        <v>25</v>
      </c>
      <c r="M17" s="77">
        <f>'Temesvári Hús'!P2</f>
        <v>37820</v>
      </c>
      <c r="N17" s="81">
        <f>'Temesvári Hús'!M50</f>
        <v>2521.8</v>
      </c>
      <c r="O17" s="78">
        <f>'Temesvári Hús'!L48</f>
        <v>75654</v>
      </c>
    </row>
    <row r="18" spans="3:15" ht="15.75">
      <c r="C18" s="75" t="s">
        <v>292</v>
      </c>
      <c r="D18" s="24" t="s">
        <v>259</v>
      </c>
      <c r="E18" s="24">
        <f>'Kék Vércsék'!T47</f>
        <v>30</v>
      </c>
      <c r="F18" s="24">
        <f>'Kék Vércsék'!R44</f>
        <v>8</v>
      </c>
      <c r="G18" s="24">
        <f>'Kék Vércsék'!S44</f>
        <v>1</v>
      </c>
      <c r="H18" s="24">
        <f>'Kék Vércsék'!T44</f>
        <v>21</v>
      </c>
      <c r="I18" s="69">
        <f>'Kék Vércsék'!I2</f>
        <v>98</v>
      </c>
      <c r="J18" s="69">
        <f>'Kék Vércsék'!J2</f>
        <v>142</v>
      </c>
      <c r="K18" s="73">
        <f>'Kék Vércsék'!L2</f>
        <v>-44</v>
      </c>
      <c r="L18" s="74">
        <f>'Kék Vércsék'!K2</f>
        <v>17</v>
      </c>
      <c r="M18" s="56">
        <f>'Kék Vércsék'!P2</f>
        <v>37410</v>
      </c>
      <c r="N18" s="293">
        <f>'Kék Vércsék'!N49</f>
        <v>2512.9666666666667</v>
      </c>
      <c r="O18" s="69">
        <f>'Kék Vércsék'!M47</f>
        <v>75389</v>
      </c>
    </row>
    <row r="19" spans="3:15" ht="15.75">
      <c r="C19" s="67" t="s">
        <v>293</v>
      </c>
      <c r="D19" s="25" t="s">
        <v>258</v>
      </c>
      <c r="E19" s="25">
        <f>Aselec!T47</f>
        <v>30</v>
      </c>
      <c r="F19" s="25">
        <f>Aselec!R44</f>
        <v>8</v>
      </c>
      <c r="G19" s="25">
        <f>Aselec!S44</f>
        <v>0</v>
      </c>
      <c r="H19" s="25">
        <f>Aselec!T44</f>
        <v>22</v>
      </c>
      <c r="I19" s="68">
        <f>Aselec!H2</f>
        <v>99</v>
      </c>
      <c r="J19" s="68">
        <f>Aselec!I2</f>
        <v>141</v>
      </c>
      <c r="K19" s="45">
        <f>Aselec!K2</f>
        <v>-42</v>
      </c>
      <c r="L19" s="55">
        <f>Aselec!J2</f>
        <v>16</v>
      </c>
      <c r="M19" s="44">
        <f>Aselec!N2</f>
        <v>37205</v>
      </c>
      <c r="N19" s="47">
        <f>Aselec!N49</f>
        <v>2496.5333333333333</v>
      </c>
      <c r="O19" s="68">
        <f>Aselec!M47</f>
        <v>74896</v>
      </c>
    </row>
    <row r="20" spans="3:15" ht="15.75">
      <c r="C20" s="67" t="s">
        <v>208</v>
      </c>
      <c r="D20" s="25" t="s">
        <v>19</v>
      </c>
      <c r="E20" s="25">
        <f>Postás!W48</f>
        <v>30</v>
      </c>
      <c r="F20" s="25">
        <f>Postás!U45</f>
        <v>7</v>
      </c>
      <c r="G20" s="25">
        <f>Postás!V45</f>
        <v>1</v>
      </c>
      <c r="H20" s="25">
        <f>Postás!W45</f>
        <v>22</v>
      </c>
      <c r="I20" s="68">
        <f>Postás!K2</f>
        <v>86</v>
      </c>
      <c r="J20" s="68">
        <f>Postás!L2</f>
        <v>154</v>
      </c>
      <c r="K20" s="45">
        <f>Postás!N2</f>
        <v>-68</v>
      </c>
      <c r="L20" s="55">
        <f>Postás!M2</f>
        <v>15</v>
      </c>
      <c r="M20" s="44">
        <f>Postás!Q2</f>
        <v>36779</v>
      </c>
      <c r="N20" s="47">
        <f>Postás!Q50</f>
        <v>2471.0666666666666</v>
      </c>
      <c r="O20" s="68">
        <f>Postás!P48</f>
        <v>74132</v>
      </c>
    </row>
    <row r="21" spans="3:15" ht="16.5" thickBot="1">
      <c r="C21" s="292" t="s">
        <v>209</v>
      </c>
      <c r="D21" s="50" t="s">
        <v>257</v>
      </c>
      <c r="E21" s="50">
        <f>'EDF Démász'!U48</f>
        <v>30</v>
      </c>
      <c r="F21" s="50">
        <f>'EDF Démász'!S45</f>
        <v>3</v>
      </c>
      <c r="G21" s="50">
        <f>'EDF Démász'!T45</f>
        <v>2</v>
      </c>
      <c r="H21" s="50">
        <f>'EDF Démász'!U45</f>
        <v>25</v>
      </c>
      <c r="I21" s="187">
        <f>'EDF Démász'!I2</f>
        <v>79</v>
      </c>
      <c r="J21" s="187">
        <f>'EDF Démász'!J2</f>
        <v>161</v>
      </c>
      <c r="K21" s="188">
        <f>'EDF Démász'!M2</f>
        <v>-82</v>
      </c>
      <c r="L21" s="189">
        <f>'EDF Démász'!K2</f>
        <v>8</v>
      </c>
      <c r="M21" s="57">
        <f>'EDF Démász'!O2</f>
        <v>36648</v>
      </c>
      <c r="N21" s="190">
        <f>'EDF Démász'!O50</f>
        <v>2451.4333333333334</v>
      </c>
      <c r="O21" s="187">
        <f>'EDF Démász'!N48</f>
        <v>73543</v>
      </c>
    </row>
    <row r="24" ht="12.75">
      <c r="D24" t="s">
        <v>199</v>
      </c>
    </row>
    <row r="25" ht="12.75">
      <c r="D25" t="s">
        <v>200</v>
      </c>
    </row>
  </sheetData>
  <sheetProtection/>
  <mergeCells count="2">
    <mergeCell ref="C3:N3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T49"/>
  <sheetViews>
    <sheetView zoomScale="90" zoomScaleNormal="90" zoomScalePageLayoutView="0" workbookViewId="0" topLeftCell="A22">
      <selection activeCell="J43" sqref="J43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4" width="9.25390625" style="1" bestFit="1" customWidth="1"/>
    <col min="5" max="5" width="10.25390625" style="1" customWidth="1"/>
    <col min="6" max="8" width="9.25390625" style="1" bestFit="1" customWidth="1"/>
    <col min="9" max="9" width="11.00390625" style="1" customWidth="1"/>
    <col min="10" max="10" width="9.75390625" style="1" customWidth="1"/>
    <col min="11" max="11" width="11.375" style="1" customWidth="1"/>
    <col min="12" max="12" width="10.75390625" style="1" customWidth="1"/>
    <col min="13" max="13" width="15.875" style="1" bestFit="1" customWidth="1"/>
    <col min="14" max="14" width="16.00390625" style="1" bestFit="1" customWidth="1"/>
    <col min="15" max="15" width="11.625" style="1" customWidth="1"/>
    <col min="16" max="16" width="13.375" style="1" customWidth="1"/>
    <col min="17" max="17" width="12.125" style="1" customWidth="1"/>
    <col min="19" max="20" width="12.00390625" style="0" customWidth="1"/>
  </cols>
  <sheetData>
    <row r="1" spans="1:16" ht="15.75">
      <c r="A1" s="27" t="s">
        <v>125</v>
      </c>
      <c r="B1" s="28"/>
      <c r="C1" s="27" t="s">
        <v>130</v>
      </c>
      <c r="D1" s="30"/>
      <c r="E1" s="28" t="s">
        <v>123</v>
      </c>
      <c r="F1" s="306" t="s">
        <v>124</v>
      </c>
      <c r="G1" s="306"/>
      <c r="I1" s="301" t="s">
        <v>134</v>
      </c>
      <c r="J1" s="301"/>
      <c r="K1" s="11" t="s">
        <v>135</v>
      </c>
      <c r="L1" s="301" t="s">
        <v>111</v>
      </c>
      <c r="M1" s="301"/>
      <c r="O1" s="61" t="s">
        <v>113</v>
      </c>
      <c r="P1" s="18">
        <f>M24/T24</f>
        <v>2539.866666666667</v>
      </c>
    </row>
    <row r="2" spans="9:16" ht="15.75">
      <c r="I2" s="1">
        <f>N24+N44</f>
        <v>98</v>
      </c>
      <c r="J2" s="1">
        <f>O24+O44</f>
        <v>142</v>
      </c>
      <c r="K2" s="1">
        <f>Q24+Q44</f>
        <v>17</v>
      </c>
      <c r="L2" s="307">
        <f>I2-J2</f>
        <v>-44</v>
      </c>
      <c r="M2" s="307"/>
      <c r="O2" s="61" t="s">
        <v>198</v>
      </c>
      <c r="P2" s="6">
        <f>M7+M9+M11+M14+M16+M18+M20+M29+M30+M32+M34+M36+M38+M40+M42</f>
        <v>37410</v>
      </c>
    </row>
    <row r="4" spans="3:20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N4" s="308" t="s">
        <v>25</v>
      </c>
      <c r="O4" s="308"/>
      <c r="R4" s="2"/>
      <c r="S4" s="2"/>
      <c r="T4" s="2"/>
    </row>
    <row r="5" spans="2:20" ht="34.5" customHeight="1" thickBot="1">
      <c r="B5" s="3" t="s">
        <v>22</v>
      </c>
      <c r="C5" s="59" t="s">
        <v>56</v>
      </c>
      <c r="D5" s="59" t="s">
        <v>55</v>
      </c>
      <c r="E5" s="59" t="s">
        <v>190</v>
      </c>
      <c r="F5" s="59" t="s">
        <v>54</v>
      </c>
      <c r="G5" s="59" t="s">
        <v>53</v>
      </c>
      <c r="H5" s="59" t="s">
        <v>52</v>
      </c>
      <c r="I5" s="59" t="s">
        <v>99</v>
      </c>
      <c r="J5" s="59" t="s">
        <v>108</v>
      </c>
      <c r="K5" s="59" t="s">
        <v>234</v>
      </c>
      <c r="L5" s="59" t="s">
        <v>249</v>
      </c>
      <c r="M5" s="3" t="s">
        <v>27</v>
      </c>
      <c r="N5" s="3" t="s">
        <v>259</v>
      </c>
      <c r="O5" s="3" t="s">
        <v>26</v>
      </c>
      <c r="P5" s="3" t="s">
        <v>28</v>
      </c>
      <c r="Q5" s="10" t="s">
        <v>101</v>
      </c>
      <c r="R5" s="2" t="s">
        <v>162</v>
      </c>
      <c r="S5" s="2" t="s">
        <v>163</v>
      </c>
      <c r="T5" s="2" t="s">
        <v>164</v>
      </c>
    </row>
    <row r="6" spans="1:20" s="97" customFormat="1" ht="15.75">
      <c r="A6" s="95" t="s">
        <v>0</v>
      </c>
      <c r="B6" s="96" t="s">
        <v>257</v>
      </c>
      <c r="C6" s="179">
        <v>437</v>
      </c>
      <c r="D6" s="96"/>
      <c r="E6" s="96">
        <v>406</v>
      </c>
      <c r="F6" s="179">
        <v>455</v>
      </c>
      <c r="G6" s="96"/>
      <c r="H6" s="96">
        <v>365</v>
      </c>
      <c r="I6" s="179">
        <v>414</v>
      </c>
      <c r="J6" s="96"/>
      <c r="K6" s="179">
        <v>427</v>
      </c>
      <c r="L6" s="102"/>
      <c r="M6" s="103">
        <f>SUM(C6:L6)</f>
        <v>2504</v>
      </c>
      <c r="N6" s="95">
        <v>6</v>
      </c>
      <c r="O6" s="95">
        <v>2</v>
      </c>
      <c r="P6" s="103">
        <v>106</v>
      </c>
      <c r="Q6" s="95">
        <v>2</v>
      </c>
      <c r="R6" s="104">
        <v>1</v>
      </c>
      <c r="S6" s="104"/>
      <c r="T6" s="104"/>
    </row>
    <row r="7" spans="1:20" s="115" customFormat="1" ht="15.75">
      <c r="A7" s="113" t="s">
        <v>1</v>
      </c>
      <c r="B7" s="114" t="s">
        <v>258</v>
      </c>
      <c r="C7" s="177">
        <v>444</v>
      </c>
      <c r="D7" s="114">
        <v>422</v>
      </c>
      <c r="E7" s="177">
        <v>435</v>
      </c>
      <c r="F7" s="114">
        <v>411</v>
      </c>
      <c r="G7" s="114"/>
      <c r="H7" s="114"/>
      <c r="I7" s="114"/>
      <c r="J7" s="114">
        <v>414</v>
      </c>
      <c r="K7" s="114">
        <v>371</v>
      </c>
      <c r="L7" s="117"/>
      <c r="M7" s="118">
        <f aca="true" t="shared" si="0" ref="M7:M16">SUM(C7:L7)</f>
        <v>2497</v>
      </c>
      <c r="N7" s="113">
        <v>2</v>
      </c>
      <c r="O7" s="113">
        <v>6</v>
      </c>
      <c r="P7" s="118">
        <v>-40</v>
      </c>
      <c r="Q7" s="113">
        <v>0</v>
      </c>
      <c r="R7" s="119"/>
      <c r="S7" s="119"/>
      <c r="T7" s="119">
        <v>1</v>
      </c>
    </row>
    <row r="8" spans="1:20" s="97" customFormat="1" ht="15.75">
      <c r="A8" s="95" t="s">
        <v>2</v>
      </c>
      <c r="B8" s="101" t="s">
        <v>218</v>
      </c>
      <c r="C8" s="179">
        <v>459</v>
      </c>
      <c r="D8" s="179">
        <v>477</v>
      </c>
      <c r="E8" s="96">
        <v>412</v>
      </c>
      <c r="F8" s="96"/>
      <c r="G8" s="96"/>
      <c r="H8" s="96"/>
      <c r="I8" s="96">
        <v>409</v>
      </c>
      <c r="J8" s="179">
        <v>433</v>
      </c>
      <c r="K8" s="96">
        <v>397</v>
      </c>
      <c r="L8" s="102"/>
      <c r="M8" s="103">
        <f t="shared" si="0"/>
        <v>2587</v>
      </c>
      <c r="N8" s="95">
        <v>3</v>
      </c>
      <c r="O8" s="95">
        <v>5</v>
      </c>
      <c r="P8" s="95">
        <v>-4</v>
      </c>
      <c r="Q8" s="95">
        <v>0</v>
      </c>
      <c r="R8" s="104"/>
      <c r="S8" s="104"/>
      <c r="T8" s="104">
        <v>1</v>
      </c>
    </row>
    <row r="9" spans="1:20" s="115" customFormat="1" ht="15.75">
      <c r="A9" s="113" t="s">
        <v>3</v>
      </c>
      <c r="B9" s="120" t="s">
        <v>15</v>
      </c>
      <c r="C9" s="181">
        <v>432</v>
      </c>
      <c r="D9" s="177">
        <v>440</v>
      </c>
      <c r="E9" s="177">
        <v>430</v>
      </c>
      <c r="F9" s="177">
        <v>435</v>
      </c>
      <c r="G9" s="114"/>
      <c r="H9" s="114">
        <v>398</v>
      </c>
      <c r="I9" s="114">
        <v>422</v>
      </c>
      <c r="J9" s="114"/>
      <c r="K9" s="114"/>
      <c r="L9" s="117"/>
      <c r="M9" s="118">
        <f t="shared" si="0"/>
        <v>2557</v>
      </c>
      <c r="N9" s="113">
        <v>6</v>
      </c>
      <c r="O9" s="113">
        <v>2</v>
      </c>
      <c r="P9" s="118">
        <v>4</v>
      </c>
      <c r="Q9" s="113">
        <v>2</v>
      </c>
      <c r="R9" s="119">
        <v>1</v>
      </c>
      <c r="S9" s="119"/>
      <c r="T9" s="119"/>
    </row>
    <row r="10" spans="1:20" s="97" customFormat="1" ht="15.75">
      <c r="A10" s="95" t="s">
        <v>4</v>
      </c>
      <c r="B10" s="96" t="s">
        <v>177</v>
      </c>
      <c r="C10" s="179">
        <v>460</v>
      </c>
      <c r="D10" s="96">
        <v>390</v>
      </c>
      <c r="E10" s="96">
        <v>417</v>
      </c>
      <c r="F10" s="96">
        <v>402</v>
      </c>
      <c r="G10" s="96">
        <v>420</v>
      </c>
      <c r="H10" s="96"/>
      <c r="I10" s="96"/>
      <c r="J10" s="96"/>
      <c r="K10" s="179">
        <v>476</v>
      </c>
      <c r="L10" s="102"/>
      <c r="M10" s="103">
        <f t="shared" si="0"/>
        <v>2565</v>
      </c>
      <c r="N10" s="95">
        <v>4</v>
      </c>
      <c r="O10" s="95">
        <v>4</v>
      </c>
      <c r="P10" s="103">
        <v>4</v>
      </c>
      <c r="Q10" s="95">
        <v>1</v>
      </c>
      <c r="R10" s="104"/>
      <c r="S10" s="104">
        <v>1</v>
      </c>
      <c r="T10" s="104"/>
    </row>
    <row r="11" spans="1:20" s="115" customFormat="1" ht="15.75">
      <c r="A11" s="113" t="s">
        <v>5</v>
      </c>
      <c r="B11" s="114" t="s">
        <v>179</v>
      </c>
      <c r="C11" s="181">
        <v>435</v>
      </c>
      <c r="D11" s="116">
        <v>396</v>
      </c>
      <c r="E11" s="116">
        <v>389</v>
      </c>
      <c r="F11" s="181">
        <v>428</v>
      </c>
      <c r="G11" s="116"/>
      <c r="H11" s="116"/>
      <c r="I11" s="116"/>
      <c r="J11" s="116">
        <v>405</v>
      </c>
      <c r="K11" s="116">
        <v>382</v>
      </c>
      <c r="L11" s="117"/>
      <c r="M11" s="122">
        <f>SUM(C11:L11)</f>
        <v>2435</v>
      </c>
      <c r="N11" s="121">
        <v>2</v>
      </c>
      <c r="O11" s="121">
        <v>6</v>
      </c>
      <c r="P11" s="121">
        <v>-219</v>
      </c>
      <c r="Q11" s="121">
        <v>0</v>
      </c>
      <c r="R11" s="123"/>
      <c r="S11" s="123"/>
      <c r="T11" s="123">
        <v>1</v>
      </c>
    </row>
    <row r="12" spans="1:20" s="97" customFormat="1" ht="15.75">
      <c r="A12" s="95" t="s">
        <v>6</v>
      </c>
      <c r="B12" s="96" t="s">
        <v>20</v>
      </c>
      <c r="C12" s="179">
        <v>427</v>
      </c>
      <c r="D12" s="96"/>
      <c r="E12" s="96"/>
      <c r="F12" s="179">
        <v>448</v>
      </c>
      <c r="G12" s="96"/>
      <c r="H12" s="96">
        <v>386</v>
      </c>
      <c r="I12" s="96">
        <v>392</v>
      </c>
      <c r="J12" s="96">
        <v>410</v>
      </c>
      <c r="K12" s="96"/>
      <c r="L12" s="102">
        <v>358</v>
      </c>
      <c r="M12" s="103">
        <f t="shared" si="0"/>
        <v>2421</v>
      </c>
      <c r="N12" s="95">
        <v>2</v>
      </c>
      <c r="O12" s="95">
        <v>6</v>
      </c>
      <c r="P12" s="103">
        <v>-21</v>
      </c>
      <c r="Q12" s="95">
        <v>0</v>
      </c>
      <c r="R12" s="104"/>
      <c r="S12" s="104"/>
      <c r="T12" s="104">
        <v>1</v>
      </c>
    </row>
    <row r="13" spans="1:20" s="97" customFormat="1" ht="15.75">
      <c r="A13" s="95" t="s">
        <v>7</v>
      </c>
      <c r="B13" s="96" t="s">
        <v>18</v>
      </c>
      <c r="C13" s="179">
        <v>506</v>
      </c>
      <c r="D13" s="96">
        <v>427</v>
      </c>
      <c r="E13" s="179">
        <v>446</v>
      </c>
      <c r="F13" s="179">
        <v>442</v>
      </c>
      <c r="G13" s="96">
        <v>415</v>
      </c>
      <c r="H13" s="96"/>
      <c r="I13" s="96"/>
      <c r="J13" s="96"/>
      <c r="K13" s="179">
        <v>441</v>
      </c>
      <c r="L13" s="102"/>
      <c r="M13" s="103">
        <f t="shared" si="0"/>
        <v>2677</v>
      </c>
      <c r="N13" s="95">
        <v>6</v>
      </c>
      <c r="O13" s="95">
        <v>2</v>
      </c>
      <c r="P13" s="103">
        <v>146</v>
      </c>
      <c r="Q13" s="95">
        <v>2</v>
      </c>
      <c r="R13" s="104">
        <v>1</v>
      </c>
      <c r="S13" s="104"/>
      <c r="T13" s="104"/>
    </row>
    <row r="14" spans="1:20" s="115" customFormat="1" ht="15.75">
      <c r="A14" s="113" t="s">
        <v>8</v>
      </c>
      <c r="B14" s="114" t="s">
        <v>178</v>
      </c>
      <c r="C14" s="177">
        <v>475</v>
      </c>
      <c r="D14" s="114">
        <v>412</v>
      </c>
      <c r="E14" s="114">
        <v>427</v>
      </c>
      <c r="F14" s="114">
        <v>421</v>
      </c>
      <c r="G14" s="114">
        <v>418</v>
      </c>
      <c r="H14" s="114"/>
      <c r="I14" s="114"/>
      <c r="J14" s="114"/>
      <c r="K14" s="114">
        <v>419</v>
      </c>
      <c r="L14" s="117"/>
      <c r="M14" s="118">
        <f t="shared" si="0"/>
        <v>2572</v>
      </c>
      <c r="N14" s="113">
        <v>1</v>
      </c>
      <c r="O14" s="113">
        <v>7</v>
      </c>
      <c r="P14" s="113">
        <v>-136</v>
      </c>
      <c r="Q14" s="113">
        <v>0</v>
      </c>
      <c r="R14" s="119"/>
      <c r="S14" s="119"/>
      <c r="T14" s="119">
        <v>1</v>
      </c>
    </row>
    <row r="15" spans="1:20" s="97" customFormat="1" ht="15.75">
      <c r="A15" s="95" t="s">
        <v>9</v>
      </c>
      <c r="B15" s="100" t="s">
        <v>17</v>
      </c>
      <c r="C15" s="197">
        <v>433</v>
      </c>
      <c r="D15" s="179">
        <v>434</v>
      </c>
      <c r="E15" s="96">
        <v>418</v>
      </c>
      <c r="F15" s="179">
        <v>459</v>
      </c>
      <c r="G15" s="96"/>
      <c r="H15" s="96"/>
      <c r="I15" s="96">
        <v>362</v>
      </c>
      <c r="J15" s="96"/>
      <c r="K15" s="96">
        <v>423</v>
      </c>
      <c r="L15" s="102"/>
      <c r="M15" s="103">
        <f t="shared" si="0"/>
        <v>2529</v>
      </c>
      <c r="N15" s="95">
        <v>3</v>
      </c>
      <c r="O15" s="95">
        <v>5</v>
      </c>
      <c r="P15" s="103">
        <v>-74</v>
      </c>
      <c r="Q15" s="95">
        <v>0</v>
      </c>
      <c r="R15" s="104"/>
      <c r="S15" s="104"/>
      <c r="T15" s="104">
        <v>1</v>
      </c>
    </row>
    <row r="16" spans="1:20" s="115" customFormat="1" ht="14.25" customHeight="1">
      <c r="A16" s="113" t="s">
        <v>10</v>
      </c>
      <c r="B16" s="114" t="s">
        <v>180</v>
      </c>
      <c r="C16" s="114">
        <v>402</v>
      </c>
      <c r="D16" s="114">
        <v>374</v>
      </c>
      <c r="E16" s="224">
        <v>416</v>
      </c>
      <c r="F16" s="224">
        <v>413</v>
      </c>
      <c r="G16" s="114"/>
      <c r="H16" s="114">
        <v>387</v>
      </c>
      <c r="I16" s="114"/>
      <c r="J16" s="114"/>
      <c r="K16" s="224">
        <v>407</v>
      </c>
      <c r="L16" s="117"/>
      <c r="M16" s="118">
        <f t="shared" si="0"/>
        <v>2399</v>
      </c>
      <c r="N16" s="113">
        <v>3</v>
      </c>
      <c r="O16" s="113">
        <v>5</v>
      </c>
      <c r="P16" s="118">
        <v>-40</v>
      </c>
      <c r="Q16" s="113">
        <v>0</v>
      </c>
      <c r="R16" s="119"/>
      <c r="S16" s="119"/>
      <c r="T16" s="119">
        <v>1</v>
      </c>
    </row>
    <row r="17" spans="1:20" s="97" customFormat="1" ht="15.75">
      <c r="A17" s="95" t="s">
        <v>11</v>
      </c>
      <c r="B17" s="100" t="s">
        <v>23</v>
      </c>
      <c r="C17" s="96">
        <v>421</v>
      </c>
      <c r="D17" s="232">
        <v>446</v>
      </c>
      <c r="E17" s="96">
        <v>433</v>
      </c>
      <c r="F17" s="232">
        <v>462</v>
      </c>
      <c r="G17" s="96"/>
      <c r="H17" s="96"/>
      <c r="I17" s="96">
        <v>380</v>
      </c>
      <c r="J17" s="96"/>
      <c r="K17" s="232">
        <v>433</v>
      </c>
      <c r="L17" s="102"/>
      <c r="M17" s="103">
        <f>SUM(C17:L17)</f>
        <v>2575</v>
      </c>
      <c r="N17" s="95">
        <v>3</v>
      </c>
      <c r="O17" s="95">
        <v>5</v>
      </c>
      <c r="P17" s="103">
        <v>-8</v>
      </c>
      <c r="Q17" s="95">
        <v>0</v>
      </c>
      <c r="R17" s="104"/>
      <c r="S17" s="104"/>
      <c r="T17" s="104">
        <v>1</v>
      </c>
    </row>
    <row r="18" spans="1:20" s="120" customFormat="1" ht="15.75">
      <c r="A18" s="120" t="s">
        <v>12</v>
      </c>
      <c r="B18" s="114" t="s">
        <v>219</v>
      </c>
      <c r="C18" s="224">
        <v>438</v>
      </c>
      <c r="D18" s="114">
        <v>406</v>
      </c>
      <c r="E18" s="114">
        <v>423</v>
      </c>
      <c r="F18" s="114">
        <v>432</v>
      </c>
      <c r="G18" s="224">
        <v>437</v>
      </c>
      <c r="H18" s="114"/>
      <c r="I18" s="114"/>
      <c r="J18" s="114"/>
      <c r="K18" s="224">
        <v>434</v>
      </c>
      <c r="L18" s="114"/>
      <c r="M18" s="132">
        <f>SUM(C18:L18)</f>
        <v>2570</v>
      </c>
      <c r="N18" s="120">
        <v>3</v>
      </c>
      <c r="O18" s="120">
        <v>5</v>
      </c>
      <c r="P18" s="120">
        <v>-27</v>
      </c>
      <c r="Q18" s="120">
        <v>0</v>
      </c>
      <c r="T18" s="120">
        <v>1</v>
      </c>
    </row>
    <row r="19" spans="1:18" s="100" customFormat="1" ht="15.75">
      <c r="A19" s="100" t="s">
        <v>13</v>
      </c>
      <c r="B19" s="100" t="s">
        <v>220</v>
      </c>
      <c r="C19" s="232">
        <v>472</v>
      </c>
      <c r="D19" s="96">
        <v>398</v>
      </c>
      <c r="E19" s="232">
        <v>415</v>
      </c>
      <c r="F19" s="232">
        <v>440</v>
      </c>
      <c r="G19" s="96">
        <v>411</v>
      </c>
      <c r="H19" s="96"/>
      <c r="I19" s="96"/>
      <c r="J19" s="96"/>
      <c r="K19" s="232">
        <v>445</v>
      </c>
      <c r="L19" s="102"/>
      <c r="M19" s="99">
        <f>SUM(C19:L19)</f>
        <v>2581</v>
      </c>
      <c r="N19" s="100">
        <v>6</v>
      </c>
      <c r="O19" s="100">
        <v>2</v>
      </c>
      <c r="P19" s="100">
        <v>131</v>
      </c>
      <c r="Q19" s="100">
        <v>2</v>
      </c>
      <c r="R19" s="100">
        <v>1</v>
      </c>
    </row>
    <row r="20" spans="1:20" s="120" customFormat="1" ht="16.5" thickBot="1">
      <c r="A20" s="120" t="s">
        <v>14</v>
      </c>
      <c r="B20" s="114" t="s">
        <v>19</v>
      </c>
      <c r="C20" s="235">
        <v>463</v>
      </c>
      <c r="D20" s="235">
        <v>457</v>
      </c>
      <c r="E20" s="125">
        <v>383</v>
      </c>
      <c r="F20" s="235">
        <v>457</v>
      </c>
      <c r="G20" s="235">
        <v>429</v>
      </c>
      <c r="H20" s="125"/>
      <c r="I20" s="125"/>
      <c r="J20" s="125"/>
      <c r="K20" s="235">
        <v>440</v>
      </c>
      <c r="L20" s="126"/>
      <c r="M20" s="151">
        <f>SUM(C20:L20)</f>
        <v>2629</v>
      </c>
      <c r="N20" s="152">
        <v>7</v>
      </c>
      <c r="O20" s="152">
        <v>1</v>
      </c>
      <c r="P20" s="152">
        <v>148</v>
      </c>
      <c r="Q20" s="152">
        <v>2</v>
      </c>
      <c r="R20" s="152">
        <v>1</v>
      </c>
      <c r="S20" s="152"/>
      <c r="T20" s="152"/>
    </row>
    <row r="21" spans="3:20" ht="16.5" thickTop="1">
      <c r="C21" s="6">
        <f>SUM(C6:C20)</f>
        <v>6704</v>
      </c>
      <c r="D21" s="6">
        <f aca="true" t="shared" si="1" ref="D21:L21">SUM(D6:D20)</f>
        <v>5479</v>
      </c>
      <c r="E21" s="6">
        <f t="shared" si="1"/>
        <v>5850</v>
      </c>
      <c r="F21" s="6">
        <f t="shared" si="1"/>
        <v>6105</v>
      </c>
      <c r="G21" s="6">
        <f t="shared" si="1"/>
        <v>2530</v>
      </c>
      <c r="H21" s="6">
        <f t="shared" si="1"/>
        <v>1536</v>
      </c>
      <c r="I21" s="6">
        <f t="shared" si="1"/>
        <v>2379</v>
      </c>
      <c r="J21" s="6">
        <f t="shared" si="1"/>
        <v>1662</v>
      </c>
      <c r="K21" s="6">
        <f t="shared" si="1"/>
        <v>5495</v>
      </c>
      <c r="L21" s="6">
        <f t="shared" si="1"/>
        <v>358</v>
      </c>
      <c r="R21" s="2">
        <f>SUM(R6:R20)</f>
        <v>5</v>
      </c>
      <c r="S21" s="2">
        <f>SUM(S6:S20)</f>
        <v>1</v>
      </c>
      <c r="T21" s="2">
        <f>SUM(T6:T20)</f>
        <v>9</v>
      </c>
    </row>
    <row r="22" spans="2:12" ht="15.75">
      <c r="B22" s="1" t="s">
        <v>194</v>
      </c>
      <c r="C22" s="6">
        <f>COUNT(C6:C20)</f>
        <v>15</v>
      </c>
      <c r="D22" s="6">
        <f aca="true" t="shared" si="2" ref="D22:L22">COUNT(D6:D20)</f>
        <v>13</v>
      </c>
      <c r="E22" s="6">
        <f t="shared" si="2"/>
        <v>14</v>
      </c>
      <c r="F22" s="6">
        <f t="shared" si="2"/>
        <v>14</v>
      </c>
      <c r="G22" s="6">
        <f t="shared" si="2"/>
        <v>6</v>
      </c>
      <c r="H22" s="6">
        <f t="shared" si="2"/>
        <v>4</v>
      </c>
      <c r="I22" s="6">
        <f t="shared" si="2"/>
        <v>6</v>
      </c>
      <c r="J22" s="6">
        <f t="shared" si="2"/>
        <v>4</v>
      </c>
      <c r="K22" s="6">
        <f t="shared" si="2"/>
        <v>13</v>
      </c>
      <c r="L22" s="6">
        <f t="shared" si="2"/>
        <v>1</v>
      </c>
    </row>
    <row r="23" spans="2:20" ht="31.5">
      <c r="B23" s="11" t="s">
        <v>112</v>
      </c>
      <c r="C23" s="16">
        <f aca="true" t="shared" si="3" ref="C23:L23">AVERAGE(C6:C20)</f>
        <v>446.93333333333334</v>
      </c>
      <c r="D23" s="16">
        <f t="shared" si="3"/>
        <v>421.46153846153845</v>
      </c>
      <c r="E23" s="16">
        <f t="shared" si="3"/>
        <v>417.85714285714283</v>
      </c>
      <c r="F23" s="16">
        <f t="shared" si="3"/>
        <v>436.07142857142856</v>
      </c>
      <c r="G23" s="16">
        <f t="shared" si="3"/>
        <v>421.6666666666667</v>
      </c>
      <c r="H23" s="16">
        <f t="shared" si="3"/>
        <v>384</v>
      </c>
      <c r="I23" s="16">
        <f t="shared" si="3"/>
        <v>396.5</v>
      </c>
      <c r="J23" s="16">
        <f t="shared" si="3"/>
        <v>415.5</v>
      </c>
      <c r="K23" s="16">
        <f t="shared" si="3"/>
        <v>422.6923076923077</v>
      </c>
      <c r="L23" s="16">
        <f t="shared" si="3"/>
        <v>358</v>
      </c>
      <c r="M23" s="3" t="s">
        <v>27</v>
      </c>
      <c r="N23" s="308" t="s">
        <v>102</v>
      </c>
      <c r="O23" s="308"/>
      <c r="P23" s="3" t="s">
        <v>28</v>
      </c>
      <c r="Q23" s="10" t="s">
        <v>103</v>
      </c>
      <c r="S23" s="40" t="s">
        <v>111</v>
      </c>
      <c r="T23" s="40" t="s">
        <v>192</v>
      </c>
    </row>
    <row r="24" spans="13:20" ht="15.75">
      <c r="M24" s="6">
        <f>SUM(M6:M20)</f>
        <v>38098</v>
      </c>
      <c r="N24" s="1">
        <f>SUM(N6:N20)</f>
        <v>57</v>
      </c>
      <c r="O24" s="1">
        <f>SUM(O6:O20)</f>
        <v>63</v>
      </c>
      <c r="P24" s="1">
        <f>SUM(P6:P20)</f>
        <v>-30</v>
      </c>
      <c r="Q24" s="1">
        <f>SUM(Q6:Q20)</f>
        <v>11</v>
      </c>
      <c r="S24" s="2">
        <f>N24-O24</f>
        <v>-6</v>
      </c>
      <c r="T24" s="2">
        <f>SUM(R21:T21)</f>
        <v>15</v>
      </c>
    </row>
    <row r="25" spans="3:10" ht="15.75">
      <c r="C25" s="309" t="s">
        <v>33</v>
      </c>
      <c r="D25" s="309"/>
      <c r="F25" s="311" t="s">
        <v>117</v>
      </c>
      <c r="G25" s="311"/>
      <c r="I25" s="310" t="s">
        <v>118</v>
      </c>
      <c r="J25" s="310"/>
    </row>
    <row r="26" spans="1:20" ht="16.5" thickBot="1">
      <c r="A26" s="39"/>
      <c r="B26" s="39"/>
      <c r="C26" s="39"/>
      <c r="D26" s="39"/>
      <c r="E26" s="39"/>
      <c r="F26" s="6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62"/>
      <c r="S26" s="62"/>
      <c r="T26" s="62"/>
    </row>
    <row r="28" spans="2:20" ht="34.5" customHeight="1" thickBot="1">
      <c r="B28" s="3" t="s">
        <v>22</v>
      </c>
      <c r="C28" s="59" t="s">
        <v>56</v>
      </c>
      <c r="D28" s="59" t="s">
        <v>55</v>
      </c>
      <c r="E28" s="59" t="s">
        <v>190</v>
      </c>
      <c r="F28" s="59" t="s">
        <v>54</v>
      </c>
      <c r="G28" s="59" t="s">
        <v>53</v>
      </c>
      <c r="H28" s="59" t="s">
        <v>52</v>
      </c>
      <c r="I28" s="59" t="s">
        <v>99</v>
      </c>
      <c r="J28" s="59" t="s">
        <v>108</v>
      </c>
      <c r="K28" s="59" t="s">
        <v>234</v>
      </c>
      <c r="L28" s="59" t="s">
        <v>249</v>
      </c>
      <c r="M28" s="3" t="s">
        <v>27</v>
      </c>
      <c r="N28" s="3" t="s">
        <v>259</v>
      </c>
      <c r="O28" s="3" t="s">
        <v>26</v>
      </c>
      <c r="P28" s="3" t="s">
        <v>28</v>
      </c>
      <c r="Q28" s="10" t="s">
        <v>101</v>
      </c>
      <c r="R28" s="2" t="s">
        <v>162</v>
      </c>
      <c r="S28" s="2" t="s">
        <v>163</v>
      </c>
      <c r="T28" s="2" t="s">
        <v>164</v>
      </c>
    </row>
    <row r="29" spans="1:18" s="115" customFormat="1" ht="15.75">
      <c r="A29" s="219" t="s">
        <v>286</v>
      </c>
      <c r="B29" s="204" t="s">
        <v>18</v>
      </c>
      <c r="C29" s="115">
        <v>405</v>
      </c>
      <c r="D29" s="224">
        <v>434</v>
      </c>
      <c r="E29" s="224">
        <v>435</v>
      </c>
      <c r="F29" s="224">
        <v>447</v>
      </c>
      <c r="G29" s="220">
        <v>396</v>
      </c>
      <c r="H29" s="220"/>
      <c r="I29" s="220"/>
      <c r="J29" s="220"/>
      <c r="K29" s="220">
        <v>414</v>
      </c>
      <c r="L29" s="220"/>
      <c r="M29" s="161">
        <f>SUM(C29:L29)</f>
        <v>2531</v>
      </c>
      <c r="N29" s="219">
        <v>5</v>
      </c>
      <c r="O29" s="219">
        <v>3</v>
      </c>
      <c r="P29" s="219">
        <v>44</v>
      </c>
      <c r="Q29" s="219">
        <v>2</v>
      </c>
      <c r="R29" s="115">
        <v>1</v>
      </c>
    </row>
    <row r="30" spans="1:18" s="115" customFormat="1" ht="15.75">
      <c r="A30" s="219" t="s">
        <v>287</v>
      </c>
      <c r="B30" s="204" t="s">
        <v>20</v>
      </c>
      <c r="C30" s="115">
        <v>417</v>
      </c>
      <c r="D30" s="224">
        <v>442</v>
      </c>
      <c r="E30" s="224">
        <v>426</v>
      </c>
      <c r="F30" s="224">
        <v>457</v>
      </c>
      <c r="G30" s="220">
        <v>407</v>
      </c>
      <c r="H30" s="220"/>
      <c r="I30" s="220"/>
      <c r="J30" s="220"/>
      <c r="K30" s="220">
        <v>421</v>
      </c>
      <c r="L30" s="220"/>
      <c r="M30" s="161">
        <f aca="true" t="shared" si="4" ref="M30:M43">SUM(C30:L30)</f>
        <v>2570</v>
      </c>
      <c r="N30" s="219">
        <v>5</v>
      </c>
      <c r="O30" s="219">
        <v>3</v>
      </c>
      <c r="P30" s="219">
        <v>34</v>
      </c>
      <c r="Q30" s="219">
        <v>2</v>
      </c>
      <c r="R30" s="115">
        <v>1</v>
      </c>
    </row>
    <row r="31" spans="1:20" s="97" customFormat="1" ht="15.75">
      <c r="A31" s="95" t="s">
        <v>136</v>
      </c>
      <c r="B31" s="225" t="s">
        <v>179</v>
      </c>
      <c r="C31" s="197">
        <v>439</v>
      </c>
      <c r="D31" s="225">
        <v>416</v>
      </c>
      <c r="E31" s="232">
        <v>423</v>
      </c>
      <c r="F31" s="225"/>
      <c r="G31" s="225"/>
      <c r="H31" s="225"/>
      <c r="I31" s="225">
        <v>369</v>
      </c>
      <c r="J31" s="225">
        <v>393</v>
      </c>
      <c r="K31" s="225">
        <v>421</v>
      </c>
      <c r="L31" s="225"/>
      <c r="M31" s="238">
        <f t="shared" si="4"/>
        <v>2461</v>
      </c>
      <c r="N31" s="95">
        <v>2</v>
      </c>
      <c r="O31" s="95">
        <v>6</v>
      </c>
      <c r="P31" s="95">
        <v>-147</v>
      </c>
      <c r="Q31" s="95">
        <v>0</v>
      </c>
      <c r="T31" s="97">
        <v>1</v>
      </c>
    </row>
    <row r="32" spans="1:20" s="115" customFormat="1" ht="15.75">
      <c r="A32" s="219" t="s">
        <v>137</v>
      </c>
      <c r="B32" s="220" t="s">
        <v>177</v>
      </c>
      <c r="D32" s="220">
        <v>393</v>
      </c>
      <c r="E32" s="220">
        <v>398</v>
      </c>
      <c r="F32" s="220"/>
      <c r="G32" s="224">
        <v>423</v>
      </c>
      <c r="H32" s="220">
        <v>386</v>
      </c>
      <c r="I32" s="220"/>
      <c r="J32" s="220">
        <v>393</v>
      </c>
      <c r="K32" s="220">
        <v>402</v>
      </c>
      <c r="L32" s="220"/>
      <c r="M32" s="161">
        <f t="shared" si="4"/>
        <v>2395</v>
      </c>
      <c r="N32" s="219">
        <v>1</v>
      </c>
      <c r="O32" s="219">
        <v>7</v>
      </c>
      <c r="P32" s="219">
        <v>-107</v>
      </c>
      <c r="Q32" s="219">
        <v>0</v>
      </c>
      <c r="T32" s="115">
        <v>1</v>
      </c>
    </row>
    <row r="33" spans="1:20" s="97" customFormat="1" ht="15.75">
      <c r="A33" s="95" t="s">
        <v>138</v>
      </c>
      <c r="B33" s="227" t="s">
        <v>15</v>
      </c>
      <c r="D33" s="225">
        <v>400</v>
      </c>
      <c r="E33" s="232">
        <v>439</v>
      </c>
      <c r="F33" s="225"/>
      <c r="G33" s="232">
        <v>426</v>
      </c>
      <c r="H33" s="225">
        <v>346</v>
      </c>
      <c r="I33" s="225"/>
      <c r="J33" s="232">
        <v>441</v>
      </c>
      <c r="K33" s="225">
        <v>420</v>
      </c>
      <c r="L33" s="225"/>
      <c r="M33" s="238">
        <f t="shared" si="4"/>
        <v>2472</v>
      </c>
      <c r="N33" s="95">
        <v>3</v>
      </c>
      <c r="O33" s="95">
        <v>5</v>
      </c>
      <c r="P33" s="95">
        <v>-160</v>
      </c>
      <c r="Q33" s="95">
        <v>0</v>
      </c>
      <c r="T33" s="97">
        <v>1</v>
      </c>
    </row>
    <row r="34" spans="1:20" s="115" customFormat="1" ht="15.75">
      <c r="A34" s="219" t="s">
        <v>139</v>
      </c>
      <c r="B34" s="116" t="s">
        <v>218</v>
      </c>
      <c r="D34" s="220">
        <v>408</v>
      </c>
      <c r="E34" s="220">
        <v>410</v>
      </c>
      <c r="F34" s="220"/>
      <c r="G34" s="224">
        <v>422</v>
      </c>
      <c r="H34" s="220"/>
      <c r="I34" s="220"/>
      <c r="J34" s="220">
        <v>389</v>
      </c>
      <c r="K34" s="220">
        <v>403</v>
      </c>
      <c r="L34" s="224">
        <v>434</v>
      </c>
      <c r="M34" s="161">
        <f t="shared" si="4"/>
        <v>2466</v>
      </c>
      <c r="N34" s="219">
        <v>2</v>
      </c>
      <c r="O34" s="219">
        <v>6</v>
      </c>
      <c r="P34" s="219">
        <v>-101</v>
      </c>
      <c r="Q34" s="219">
        <v>0</v>
      </c>
      <c r="T34" s="115">
        <v>1</v>
      </c>
    </row>
    <row r="35" spans="1:20" s="97" customFormat="1" ht="15.75">
      <c r="A35" s="95" t="s">
        <v>140</v>
      </c>
      <c r="B35" s="225" t="s">
        <v>258</v>
      </c>
      <c r="D35" s="232">
        <v>418</v>
      </c>
      <c r="E35" s="225">
        <v>401</v>
      </c>
      <c r="F35" s="225"/>
      <c r="G35" s="225">
        <v>398</v>
      </c>
      <c r="H35" s="225"/>
      <c r="I35" s="225"/>
      <c r="J35" s="232">
        <v>427</v>
      </c>
      <c r="K35" s="232">
        <v>422</v>
      </c>
      <c r="L35" s="225">
        <v>381</v>
      </c>
      <c r="M35" s="238">
        <f t="shared" si="4"/>
        <v>2447</v>
      </c>
      <c r="N35" s="95">
        <v>3</v>
      </c>
      <c r="O35" s="95">
        <v>5</v>
      </c>
      <c r="P35" s="95">
        <v>-39</v>
      </c>
      <c r="Q35" s="95">
        <v>0</v>
      </c>
      <c r="T35" s="97">
        <v>1</v>
      </c>
    </row>
    <row r="36" spans="1:20" s="115" customFormat="1" ht="15.75">
      <c r="A36" s="219" t="s">
        <v>141</v>
      </c>
      <c r="B36" s="220" t="s">
        <v>257</v>
      </c>
      <c r="D36" s="220">
        <v>411</v>
      </c>
      <c r="E36" s="224">
        <v>431</v>
      </c>
      <c r="F36" s="220"/>
      <c r="G36" s="220"/>
      <c r="H36" s="220">
        <v>371</v>
      </c>
      <c r="I36" s="220"/>
      <c r="J36" s="220">
        <v>350</v>
      </c>
      <c r="K36" s="220">
        <v>364</v>
      </c>
      <c r="L36" s="220">
        <v>371</v>
      </c>
      <c r="M36" s="161">
        <f t="shared" si="4"/>
        <v>2298</v>
      </c>
      <c r="N36" s="219">
        <v>1</v>
      </c>
      <c r="O36" s="219">
        <v>7</v>
      </c>
      <c r="P36" s="219">
        <v>-243</v>
      </c>
      <c r="Q36" s="219">
        <v>0</v>
      </c>
      <c r="T36" s="115">
        <v>1</v>
      </c>
    </row>
    <row r="37" spans="1:18" s="97" customFormat="1" ht="15.75">
      <c r="A37" s="95" t="s">
        <v>142</v>
      </c>
      <c r="B37" s="225" t="s">
        <v>19</v>
      </c>
      <c r="D37" s="232">
        <v>433</v>
      </c>
      <c r="E37" s="232">
        <v>452</v>
      </c>
      <c r="F37" s="225"/>
      <c r="G37" s="232">
        <v>427</v>
      </c>
      <c r="H37" s="225"/>
      <c r="I37" s="225">
        <v>385</v>
      </c>
      <c r="J37" s="225">
        <v>398</v>
      </c>
      <c r="K37" s="225">
        <v>414</v>
      </c>
      <c r="L37" s="225"/>
      <c r="M37" s="238">
        <f t="shared" si="4"/>
        <v>2509</v>
      </c>
      <c r="N37" s="95">
        <v>5</v>
      </c>
      <c r="O37" s="95">
        <v>3</v>
      </c>
      <c r="P37" s="95">
        <v>40</v>
      </c>
      <c r="Q37" s="95">
        <v>2</v>
      </c>
      <c r="R37" s="97">
        <v>1</v>
      </c>
    </row>
    <row r="38" spans="1:20" s="115" customFormat="1" ht="15.75">
      <c r="A38" s="219" t="s">
        <v>143</v>
      </c>
      <c r="B38" s="220" t="s">
        <v>220</v>
      </c>
      <c r="D38" s="224">
        <v>420</v>
      </c>
      <c r="E38" s="220">
        <v>410</v>
      </c>
      <c r="F38" s="220"/>
      <c r="G38" s="224">
        <v>419</v>
      </c>
      <c r="H38" s="220">
        <v>384</v>
      </c>
      <c r="I38" s="220"/>
      <c r="J38" s="224">
        <v>412</v>
      </c>
      <c r="K38" s="220">
        <v>388</v>
      </c>
      <c r="L38" s="220"/>
      <c r="M38" s="161">
        <f t="shared" si="4"/>
        <v>2433</v>
      </c>
      <c r="N38" s="219">
        <v>3</v>
      </c>
      <c r="O38" s="219">
        <v>5</v>
      </c>
      <c r="P38" s="219">
        <v>-78</v>
      </c>
      <c r="Q38" s="219">
        <v>0</v>
      </c>
      <c r="T38" s="115">
        <v>1</v>
      </c>
    </row>
    <row r="39" spans="1:20" s="97" customFormat="1" ht="15.75">
      <c r="A39" s="95" t="s">
        <v>144</v>
      </c>
      <c r="B39" s="227" t="s">
        <v>219</v>
      </c>
      <c r="C39" s="225"/>
      <c r="D39" s="225">
        <v>436</v>
      </c>
      <c r="E39" s="225">
        <v>391</v>
      </c>
      <c r="F39" s="225"/>
      <c r="G39" s="225">
        <v>421</v>
      </c>
      <c r="H39" s="225"/>
      <c r="I39" s="225"/>
      <c r="J39" s="232">
        <v>478</v>
      </c>
      <c r="K39" s="232">
        <v>458</v>
      </c>
      <c r="L39" s="225">
        <v>375</v>
      </c>
      <c r="M39" s="238">
        <f t="shared" si="4"/>
        <v>2559</v>
      </c>
      <c r="N39" s="95">
        <v>2</v>
      </c>
      <c r="O39" s="95">
        <v>6</v>
      </c>
      <c r="P39" s="95">
        <v>-102</v>
      </c>
      <c r="Q39" s="95">
        <v>0</v>
      </c>
      <c r="T39" s="97">
        <v>1</v>
      </c>
    </row>
    <row r="40" spans="1:20" s="115" customFormat="1" ht="15.75">
      <c r="A40" s="219" t="s">
        <v>145</v>
      </c>
      <c r="B40" s="204" t="s">
        <v>23</v>
      </c>
      <c r="D40" s="224">
        <v>434</v>
      </c>
      <c r="E40" s="220">
        <v>371</v>
      </c>
      <c r="F40" s="220"/>
      <c r="G40" s="224">
        <v>438</v>
      </c>
      <c r="H40" s="220"/>
      <c r="I40" s="220">
        <v>402</v>
      </c>
      <c r="J40" s="220">
        <v>423</v>
      </c>
      <c r="K40" s="220">
        <v>425</v>
      </c>
      <c r="L40" s="220"/>
      <c r="M40" s="161">
        <f t="shared" si="4"/>
        <v>2493</v>
      </c>
      <c r="N40" s="219">
        <v>2</v>
      </c>
      <c r="O40" s="219">
        <v>6</v>
      </c>
      <c r="P40" s="219">
        <v>-188</v>
      </c>
      <c r="Q40" s="219">
        <v>0</v>
      </c>
      <c r="T40" s="115">
        <v>1</v>
      </c>
    </row>
    <row r="41" spans="1:20" s="97" customFormat="1" ht="15.75">
      <c r="A41" s="95" t="s">
        <v>146</v>
      </c>
      <c r="B41" s="225" t="s">
        <v>180</v>
      </c>
      <c r="C41" s="197">
        <v>449</v>
      </c>
      <c r="D41" s="225">
        <v>421</v>
      </c>
      <c r="E41" s="232">
        <v>435</v>
      </c>
      <c r="F41" s="225">
        <v>398</v>
      </c>
      <c r="G41" s="232">
        <v>458</v>
      </c>
      <c r="H41" s="225"/>
      <c r="I41" s="225"/>
      <c r="J41" s="225"/>
      <c r="K41" s="225">
        <v>423</v>
      </c>
      <c r="L41" s="225"/>
      <c r="M41" s="238">
        <f t="shared" si="4"/>
        <v>2584</v>
      </c>
      <c r="N41" s="95">
        <v>3</v>
      </c>
      <c r="O41" s="95">
        <v>5</v>
      </c>
      <c r="P41" s="95">
        <v>-62</v>
      </c>
      <c r="Q41" s="95">
        <v>0</v>
      </c>
      <c r="T41" s="97">
        <v>1</v>
      </c>
    </row>
    <row r="42" spans="1:20" s="115" customFormat="1" ht="15.75">
      <c r="A42" s="219" t="s">
        <v>147</v>
      </c>
      <c r="B42" s="220" t="s">
        <v>17</v>
      </c>
      <c r="C42" s="296">
        <v>440</v>
      </c>
      <c r="D42" s="224">
        <v>451</v>
      </c>
      <c r="E42" s="220">
        <v>419</v>
      </c>
      <c r="F42" s="220"/>
      <c r="G42" s="220">
        <v>415</v>
      </c>
      <c r="H42" s="220"/>
      <c r="I42" s="220"/>
      <c r="J42" s="220">
        <v>426</v>
      </c>
      <c r="K42" s="220">
        <v>414</v>
      </c>
      <c r="L42" s="220"/>
      <c r="M42" s="161">
        <f t="shared" si="4"/>
        <v>2565</v>
      </c>
      <c r="N42" s="219">
        <v>2</v>
      </c>
      <c r="O42" s="219">
        <v>6</v>
      </c>
      <c r="P42" s="219">
        <v>-44</v>
      </c>
      <c r="Q42" s="219">
        <v>0</v>
      </c>
      <c r="T42" s="115">
        <v>1</v>
      </c>
    </row>
    <row r="43" spans="1:20" s="97" customFormat="1" ht="16.5" thickBot="1">
      <c r="A43" s="95" t="s">
        <v>148</v>
      </c>
      <c r="B43" s="225" t="s">
        <v>178</v>
      </c>
      <c r="C43" s="300">
        <v>446</v>
      </c>
      <c r="D43" s="108">
        <v>415</v>
      </c>
      <c r="E43" s="108">
        <v>410</v>
      </c>
      <c r="F43" s="108"/>
      <c r="G43" s="108">
        <v>423</v>
      </c>
      <c r="H43" s="108"/>
      <c r="I43" s="108"/>
      <c r="J43" s="236">
        <v>426</v>
      </c>
      <c r="K43" s="108">
        <v>388</v>
      </c>
      <c r="L43" s="109"/>
      <c r="M43" s="238">
        <f t="shared" si="4"/>
        <v>2508</v>
      </c>
      <c r="N43" s="105">
        <v>2</v>
      </c>
      <c r="O43" s="105">
        <v>6</v>
      </c>
      <c r="P43" s="105">
        <v>-122</v>
      </c>
      <c r="Q43" s="105">
        <v>0</v>
      </c>
      <c r="R43" s="149"/>
      <c r="S43" s="149"/>
      <c r="T43" s="97">
        <v>1</v>
      </c>
    </row>
    <row r="44" spans="3:20" ht="16.5" thickTop="1">
      <c r="C44" s="7">
        <f>SUM(C29:C43)</f>
        <v>2596</v>
      </c>
      <c r="D44" s="7">
        <f>SUM(D29:D43)</f>
        <v>6332</v>
      </c>
      <c r="E44" s="7">
        <f>SUM(E29:E43)</f>
        <v>6251</v>
      </c>
      <c r="F44" s="7">
        <f>SUM(F29:F43)</f>
        <v>1302</v>
      </c>
      <c r="G44" s="7">
        <f>SUM(G29:G35)+SUM(G37:G43)</f>
        <v>5473</v>
      </c>
      <c r="H44" s="7">
        <f>SUM(H29:H43)</f>
        <v>1487</v>
      </c>
      <c r="I44" s="7">
        <f>SUM(I29:I43)</f>
        <v>1156</v>
      </c>
      <c r="J44" s="7">
        <f>SUM(J29:J43)</f>
        <v>4956</v>
      </c>
      <c r="K44" s="7">
        <f>SUM(K29:K43)</f>
        <v>6177</v>
      </c>
      <c r="L44" s="7">
        <f>SUM(L29:L36)+SUM(L37:L43)</f>
        <v>1561</v>
      </c>
      <c r="N44" s="1">
        <f>SUM(N29:N43)</f>
        <v>41</v>
      </c>
      <c r="O44" s="1">
        <f>SUM(O29:O43)</f>
        <v>79</v>
      </c>
      <c r="P44" s="1">
        <f>SUM(P29:P43)</f>
        <v>-1275</v>
      </c>
      <c r="Q44" s="1">
        <f>SUM(Q29:Q43)</f>
        <v>6</v>
      </c>
      <c r="R44" s="1">
        <f>SUM(R29:R43)+R21</f>
        <v>8</v>
      </c>
      <c r="S44" s="1">
        <f>SUM(S29:S43)+S21</f>
        <v>1</v>
      </c>
      <c r="T44" s="1">
        <f>SUM(T29:T43)+T21</f>
        <v>21</v>
      </c>
    </row>
    <row r="45" spans="2:12" ht="15.75">
      <c r="B45" s="36" t="s">
        <v>214</v>
      </c>
      <c r="C45" s="1">
        <f>COUNT(C29:C43)</f>
        <v>6</v>
      </c>
      <c r="D45" s="1">
        <f>COUNT(D29:D43)</f>
        <v>15</v>
      </c>
      <c r="E45" s="1">
        <f>COUNT(E29:E43)</f>
        <v>15</v>
      </c>
      <c r="F45" s="1">
        <f>COUNT(F29:F43)</f>
        <v>3</v>
      </c>
      <c r="G45" s="1">
        <f>COUNT(G29:G35)+COUNT(G37:G43)</f>
        <v>13</v>
      </c>
      <c r="H45" s="1">
        <f>COUNT(H29:H43)</f>
        <v>4</v>
      </c>
      <c r="I45" s="1">
        <f>COUNT(I29:I43)</f>
        <v>3</v>
      </c>
      <c r="J45" s="1">
        <f>COUNT(J29:J43)</f>
        <v>12</v>
      </c>
      <c r="K45" s="1">
        <f>COUNT(K29:K43)</f>
        <v>15</v>
      </c>
      <c r="L45" s="1">
        <f>COUNT(L29:L36)+COUNT(L37:L43)</f>
        <v>4</v>
      </c>
    </row>
    <row r="46" spans="2:20" ht="31.5">
      <c r="B46" s="11" t="s">
        <v>210</v>
      </c>
      <c r="C46" s="16">
        <f>C44/C45</f>
        <v>432.6666666666667</v>
      </c>
      <c r="D46" s="16">
        <f aca="true" t="shared" si="5" ref="D46:L46">D44/D45</f>
        <v>422.1333333333333</v>
      </c>
      <c r="E46" s="16">
        <f t="shared" si="5"/>
        <v>416.73333333333335</v>
      </c>
      <c r="F46" s="16">
        <f t="shared" si="5"/>
        <v>434</v>
      </c>
      <c r="G46" s="16">
        <f t="shared" si="5"/>
        <v>421</v>
      </c>
      <c r="H46" s="16">
        <f t="shared" si="5"/>
        <v>371.75</v>
      </c>
      <c r="I46" s="16">
        <f t="shared" si="5"/>
        <v>385.3333333333333</v>
      </c>
      <c r="J46" s="16">
        <f t="shared" si="5"/>
        <v>413</v>
      </c>
      <c r="K46" s="16">
        <f t="shared" si="5"/>
        <v>411.8</v>
      </c>
      <c r="L46" s="16">
        <f t="shared" si="5"/>
        <v>390.25</v>
      </c>
      <c r="M46" s="3" t="s">
        <v>27</v>
      </c>
      <c r="N46" s="308" t="s">
        <v>102</v>
      </c>
      <c r="O46" s="308"/>
      <c r="P46" s="3" t="s">
        <v>28</v>
      </c>
      <c r="Q46" s="10" t="s">
        <v>103</v>
      </c>
      <c r="S46" s="40" t="s">
        <v>111</v>
      </c>
      <c r="T46" s="40" t="s">
        <v>192</v>
      </c>
    </row>
    <row r="47" spans="13:20" ht="15.75">
      <c r="M47" s="6">
        <f>SUM(M29:M43)+M24</f>
        <v>75389</v>
      </c>
      <c r="N47" s="6">
        <f>SUM(N29:N43)+N24</f>
        <v>98</v>
      </c>
      <c r="O47" s="6">
        <f>SUM(O29:O43)+O24</f>
        <v>142</v>
      </c>
      <c r="P47" s="6">
        <f>SUM(P29:P43)+P24</f>
        <v>-1305</v>
      </c>
      <c r="Q47" s="6">
        <f>SUM(Q29:Q43)+Q24</f>
        <v>17</v>
      </c>
      <c r="S47" s="2">
        <f>N47-O47</f>
        <v>-44</v>
      </c>
      <c r="T47" s="2">
        <f>SUM(R44:T44)</f>
        <v>30</v>
      </c>
    </row>
    <row r="49" spans="13:14" ht="15.75">
      <c r="M49" s="1" t="s">
        <v>113</v>
      </c>
      <c r="N49" s="18">
        <f>M47/T47</f>
        <v>2512.9666666666667</v>
      </c>
    </row>
  </sheetData>
  <sheetProtection/>
  <mergeCells count="11">
    <mergeCell ref="N23:O23"/>
    <mergeCell ref="F25:G25"/>
    <mergeCell ref="F1:G1"/>
    <mergeCell ref="I1:J1"/>
    <mergeCell ref="L1:M1"/>
    <mergeCell ref="L2:M2"/>
    <mergeCell ref="N46:O46"/>
    <mergeCell ref="I25:J25"/>
    <mergeCell ref="C4:L4"/>
    <mergeCell ref="N4:O4"/>
    <mergeCell ref="C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49"/>
  <sheetViews>
    <sheetView zoomScale="90" zoomScaleNormal="90" zoomScalePageLayoutView="0" workbookViewId="0" topLeftCell="A24">
      <selection activeCell="E43" sqref="E43"/>
    </sheetView>
  </sheetViews>
  <sheetFormatPr defaultColWidth="9.00390625" defaultRowHeight="12.75"/>
  <cols>
    <col min="1" max="1" width="11.25390625" style="4" bestFit="1" customWidth="1"/>
    <col min="2" max="2" width="21.00390625" style="4" bestFit="1" customWidth="1"/>
    <col min="3" max="3" width="10.625" style="4" customWidth="1"/>
    <col min="4" max="4" width="9.75390625" style="4" customWidth="1"/>
    <col min="5" max="5" width="7.25390625" style="4" customWidth="1"/>
    <col min="6" max="6" width="11.00390625" style="4" customWidth="1"/>
    <col min="7" max="7" width="9.125" style="4" customWidth="1"/>
    <col min="8" max="8" width="9.625" style="4" customWidth="1"/>
    <col min="9" max="9" width="9.75390625" style="4" customWidth="1"/>
    <col min="10" max="11" width="11.125" style="4" customWidth="1"/>
    <col min="12" max="12" width="12.00390625" style="4" customWidth="1"/>
    <col min="13" max="13" width="18.25390625" style="1" bestFit="1" customWidth="1"/>
    <col min="14" max="14" width="16.375" style="1" customWidth="1"/>
    <col min="15" max="15" width="10.375" style="1" customWidth="1"/>
    <col min="16" max="16" width="13.375" style="1" customWidth="1"/>
    <col min="17" max="17" width="11.875" style="1" customWidth="1"/>
    <col min="19" max="19" width="12.00390625" style="0" customWidth="1"/>
    <col min="20" max="20" width="10.75390625" style="0" customWidth="1"/>
  </cols>
  <sheetData>
    <row r="1" spans="1:17" ht="15.75">
      <c r="A1" s="27" t="s">
        <v>125</v>
      </c>
      <c r="B1" s="28"/>
      <c r="C1" s="28" t="s">
        <v>174</v>
      </c>
      <c r="D1" s="28" t="s">
        <v>175</v>
      </c>
      <c r="G1" s="306" t="s">
        <v>176</v>
      </c>
      <c r="H1" s="306"/>
      <c r="I1" s="306"/>
      <c r="J1" s="301" t="s">
        <v>134</v>
      </c>
      <c r="K1" s="301"/>
      <c r="L1" s="301"/>
      <c r="M1" s="11" t="s">
        <v>135</v>
      </c>
      <c r="N1" s="13" t="s">
        <v>111</v>
      </c>
      <c r="P1" s="61" t="s">
        <v>113</v>
      </c>
      <c r="Q1" s="18">
        <f>M24/T24</f>
        <v>2448</v>
      </c>
    </row>
    <row r="2" spans="10:17" ht="15.75">
      <c r="J2" s="6">
        <f>N24+N47</f>
        <v>131</v>
      </c>
      <c r="K2" s="6"/>
      <c r="L2" s="6">
        <f>O24+O47</f>
        <v>109</v>
      </c>
      <c r="M2" s="6">
        <f>Q24+Q44</f>
        <v>40</v>
      </c>
      <c r="N2" s="6">
        <f>J2-L2</f>
        <v>22</v>
      </c>
      <c r="P2" s="61" t="s">
        <v>198</v>
      </c>
      <c r="Q2" s="6">
        <f>M7+M9+M11+M13+M15+M17+M20+M30+M32+M34+M36+M38+M39+M41+M43</f>
        <v>38185</v>
      </c>
    </row>
    <row r="4" spans="3:20" ht="15.75">
      <c r="C4" s="313" t="s">
        <v>24</v>
      </c>
      <c r="D4" s="313"/>
      <c r="E4" s="313"/>
      <c r="F4" s="313"/>
      <c r="G4" s="313"/>
      <c r="H4" s="313"/>
      <c r="I4" s="313"/>
      <c r="J4" s="313"/>
      <c r="K4" s="313"/>
      <c r="L4" s="313"/>
      <c r="N4" s="308" t="s">
        <v>25</v>
      </c>
      <c r="O4" s="308"/>
      <c r="R4" s="2"/>
      <c r="S4" s="2"/>
      <c r="T4" s="2"/>
    </row>
    <row r="5" spans="2:20" ht="45" customHeight="1" thickBot="1">
      <c r="B5" s="5" t="s">
        <v>22</v>
      </c>
      <c r="C5" s="59" t="s">
        <v>182</v>
      </c>
      <c r="D5" s="59" t="s">
        <v>272</v>
      </c>
      <c r="E5" s="59" t="s">
        <v>183</v>
      </c>
      <c r="F5" s="59" t="s">
        <v>239</v>
      </c>
      <c r="G5" s="8" t="s">
        <v>274</v>
      </c>
      <c r="H5" s="59" t="s">
        <v>46</v>
      </c>
      <c r="I5" s="59" t="s">
        <v>186</v>
      </c>
      <c r="J5" s="59" t="s">
        <v>184</v>
      </c>
      <c r="K5" s="59" t="s">
        <v>273</v>
      </c>
      <c r="L5" s="59" t="s">
        <v>185</v>
      </c>
      <c r="M5" s="3" t="s">
        <v>27</v>
      </c>
      <c r="N5" s="3" t="s">
        <v>180</v>
      </c>
      <c r="O5" s="3" t="s">
        <v>26</v>
      </c>
      <c r="P5" s="3" t="s">
        <v>28</v>
      </c>
      <c r="Q5" s="10" t="s">
        <v>101</v>
      </c>
      <c r="R5" s="2" t="s">
        <v>162</v>
      </c>
      <c r="S5" s="2" t="s">
        <v>163</v>
      </c>
      <c r="T5" s="2" t="s">
        <v>164</v>
      </c>
    </row>
    <row r="6" spans="1:20" s="97" customFormat="1" ht="15.75">
      <c r="A6" s="105" t="s">
        <v>0</v>
      </c>
      <c r="B6" s="96" t="s">
        <v>219</v>
      </c>
      <c r="C6" s="101">
        <v>397</v>
      </c>
      <c r="D6" s="179">
        <v>403</v>
      </c>
      <c r="E6" s="96">
        <v>399</v>
      </c>
      <c r="F6" s="96"/>
      <c r="H6" s="174">
        <v>451</v>
      </c>
      <c r="I6" s="101">
        <v>395</v>
      </c>
      <c r="J6" s="101"/>
      <c r="K6" s="101"/>
      <c r="L6" s="174">
        <v>413</v>
      </c>
      <c r="M6" s="163">
        <f>SUM(C6:L6)</f>
        <v>2458</v>
      </c>
      <c r="N6" s="95">
        <v>5</v>
      </c>
      <c r="O6" s="95">
        <v>3</v>
      </c>
      <c r="P6" s="95">
        <v>100</v>
      </c>
      <c r="Q6" s="95">
        <v>2</v>
      </c>
      <c r="R6" s="104">
        <v>1</v>
      </c>
      <c r="S6" s="104"/>
      <c r="T6" s="104"/>
    </row>
    <row r="7" spans="1:20" s="115" customFormat="1" ht="15.75">
      <c r="A7" s="121" t="s">
        <v>1</v>
      </c>
      <c r="B7" s="120" t="s">
        <v>220</v>
      </c>
      <c r="C7" s="116"/>
      <c r="D7" s="177">
        <v>427</v>
      </c>
      <c r="E7" s="177">
        <v>427</v>
      </c>
      <c r="F7" s="114"/>
      <c r="H7" s="116">
        <v>401</v>
      </c>
      <c r="I7" s="116">
        <v>397</v>
      </c>
      <c r="J7" s="116">
        <v>390</v>
      </c>
      <c r="K7" s="116"/>
      <c r="L7" s="116">
        <v>378</v>
      </c>
      <c r="M7" s="167">
        <f aca="true" t="shared" si="0" ref="M7:M20">SUM(C7:L7)</f>
        <v>2420</v>
      </c>
      <c r="N7" s="113">
        <v>2</v>
      </c>
      <c r="O7" s="113">
        <v>6</v>
      </c>
      <c r="P7" s="118">
        <f>M7-2479</f>
        <v>-59</v>
      </c>
      <c r="Q7" s="113">
        <v>0</v>
      </c>
      <c r="R7" s="119"/>
      <c r="S7" s="119"/>
      <c r="T7" s="119">
        <v>1</v>
      </c>
    </row>
    <row r="8" spans="1:21" s="97" customFormat="1" ht="15.75">
      <c r="A8" s="105" t="s">
        <v>2</v>
      </c>
      <c r="B8" s="96" t="s">
        <v>19</v>
      </c>
      <c r="C8" s="101">
        <v>368</v>
      </c>
      <c r="D8" s="174">
        <v>389</v>
      </c>
      <c r="E8" s="174">
        <v>380</v>
      </c>
      <c r="F8" s="101"/>
      <c r="G8" s="101"/>
      <c r="H8" s="174">
        <v>391</v>
      </c>
      <c r="I8" s="101"/>
      <c r="J8" s="174">
        <v>409</v>
      </c>
      <c r="K8" s="101"/>
      <c r="L8" s="102">
        <v>367</v>
      </c>
      <c r="M8" s="163">
        <f>SUM(C8:L8)</f>
        <v>2304</v>
      </c>
      <c r="N8" s="105">
        <v>6</v>
      </c>
      <c r="O8" s="105">
        <v>2</v>
      </c>
      <c r="P8" s="105">
        <v>35</v>
      </c>
      <c r="Q8" s="105">
        <v>2</v>
      </c>
      <c r="R8" s="107">
        <v>1</v>
      </c>
      <c r="S8" s="107"/>
      <c r="T8" s="107"/>
      <c r="U8" s="149"/>
    </row>
    <row r="9" spans="1:20" s="115" customFormat="1" ht="15.75">
      <c r="A9" s="121" t="s">
        <v>3</v>
      </c>
      <c r="B9" s="114" t="s">
        <v>257</v>
      </c>
      <c r="C9" s="116">
        <v>414</v>
      </c>
      <c r="D9" s="177">
        <v>430</v>
      </c>
      <c r="E9" s="177">
        <v>422</v>
      </c>
      <c r="F9" s="114"/>
      <c r="G9" s="114"/>
      <c r="H9" s="181">
        <v>435</v>
      </c>
      <c r="I9" s="181">
        <v>422</v>
      </c>
      <c r="J9" s="116"/>
      <c r="K9" s="116"/>
      <c r="L9" s="116">
        <v>378</v>
      </c>
      <c r="M9" s="167">
        <f t="shared" si="0"/>
        <v>2501</v>
      </c>
      <c r="N9" s="113">
        <v>6</v>
      </c>
      <c r="O9" s="113">
        <v>2</v>
      </c>
      <c r="P9" s="118">
        <v>110</v>
      </c>
      <c r="Q9" s="113">
        <v>2</v>
      </c>
      <c r="R9" s="119">
        <v>1</v>
      </c>
      <c r="S9" s="119"/>
      <c r="T9" s="119"/>
    </row>
    <row r="10" spans="1:20" s="97" customFormat="1" ht="15.75">
      <c r="A10" s="105" t="s">
        <v>4</v>
      </c>
      <c r="B10" s="96" t="s">
        <v>258</v>
      </c>
      <c r="C10" s="101">
        <v>356</v>
      </c>
      <c r="D10" s="179">
        <v>417</v>
      </c>
      <c r="E10" s="96">
        <v>378</v>
      </c>
      <c r="F10" s="96"/>
      <c r="G10" s="96"/>
      <c r="H10" s="174">
        <v>399</v>
      </c>
      <c r="I10" s="101">
        <v>377</v>
      </c>
      <c r="J10" s="101"/>
      <c r="K10" s="101"/>
      <c r="L10" s="174">
        <v>390</v>
      </c>
      <c r="M10" s="163">
        <f t="shared" si="0"/>
        <v>2317</v>
      </c>
      <c r="N10" s="95">
        <v>5</v>
      </c>
      <c r="O10" s="95">
        <v>3</v>
      </c>
      <c r="P10" s="103">
        <f>M10-2198</f>
        <v>119</v>
      </c>
      <c r="Q10" s="95">
        <v>2</v>
      </c>
      <c r="R10" s="104">
        <v>1</v>
      </c>
      <c r="S10" s="104"/>
      <c r="T10" s="104"/>
    </row>
    <row r="11" spans="1:20" s="115" customFormat="1" ht="15.75">
      <c r="A11" s="121" t="s">
        <v>5</v>
      </c>
      <c r="B11" s="116" t="s">
        <v>218</v>
      </c>
      <c r="C11" s="171">
        <v>433</v>
      </c>
      <c r="D11" s="177">
        <v>461</v>
      </c>
      <c r="E11" s="177">
        <v>453</v>
      </c>
      <c r="F11" s="114"/>
      <c r="G11" s="114"/>
      <c r="H11" s="116">
        <v>425</v>
      </c>
      <c r="I11" s="116">
        <v>433</v>
      </c>
      <c r="J11" s="181">
        <v>460</v>
      </c>
      <c r="K11" s="116"/>
      <c r="L11" s="116"/>
      <c r="M11" s="167">
        <f t="shared" si="0"/>
        <v>2665</v>
      </c>
      <c r="N11" s="113">
        <v>5</v>
      </c>
      <c r="O11" s="113">
        <v>3</v>
      </c>
      <c r="P11" s="113">
        <v>18</v>
      </c>
      <c r="Q11" s="113">
        <v>2</v>
      </c>
      <c r="R11" s="119">
        <v>1</v>
      </c>
      <c r="S11" s="119"/>
      <c r="T11" s="119"/>
    </row>
    <row r="12" spans="1:20" s="97" customFormat="1" ht="15.75">
      <c r="A12" s="105" t="s">
        <v>6</v>
      </c>
      <c r="B12" s="100" t="s">
        <v>15</v>
      </c>
      <c r="C12" s="174">
        <v>413</v>
      </c>
      <c r="D12" s="179">
        <v>409</v>
      </c>
      <c r="E12" s="96">
        <v>385</v>
      </c>
      <c r="F12" s="96"/>
      <c r="G12" s="96"/>
      <c r="H12" s="101">
        <v>388</v>
      </c>
      <c r="I12" s="101">
        <v>394</v>
      </c>
      <c r="J12" s="101"/>
      <c r="K12" s="101"/>
      <c r="L12" s="174">
        <v>406</v>
      </c>
      <c r="M12" s="163">
        <f t="shared" si="0"/>
        <v>2395</v>
      </c>
      <c r="N12" s="95">
        <v>3</v>
      </c>
      <c r="O12" s="95">
        <v>5</v>
      </c>
      <c r="P12" s="103">
        <v>-12</v>
      </c>
      <c r="Q12" s="95">
        <v>0</v>
      </c>
      <c r="R12" s="104"/>
      <c r="S12" s="104"/>
      <c r="T12" s="104">
        <v>1</v>
      </c>
    </row>
    <row r="13" spans="1:20" s="115" customFormat="1" ht="15.75">
      <c r="A13" s="121" t="s">
        <v>7</v>
      </c>
      <c r="B13" s="114" t="s">
        <v>177</v>
      </c>
      <c r="C13" s="116">
        <v>414</v>
      </c>
      <c r="D13" s="177">
        <v>429</v>
      </c>
      <c r="E13" s="114">
        <v>379</v>
      </c>
      <c r="F13" s="114">
        <v>178</v>
      </c>
      <c r="G13" s="114">
        <v>189</v>
      </c>
      <c r="H13" s="181">
        <v>417</v>
      </c>
      <c r="I13" s="116">
        <v>414</v>
      </c>
      <c r="J13" s="116"/>
      <c r="K13" s="116"/>
      <c r="L13" s="116"/>
      <c r="M13" s="167">
        <f t="shared" si="0"/>
        <v>2420</v>
      </c>
      <c r="N13" s="113">
        <v>2</v>
      </c>
      <c r="O13" s="113">
        <v>6</v>
      </c>
      <c r="P13" s="118">
        <v>-46</v>
      </c>
      <c r="Q13" s="113">
        <v>0</v>
      </c>
      <c r="R13" s="119"/>
      <c r="S13" s="119"/>
      <c r="T13" s="119">
        <v>1</v>
      </c>
    </row>
    <row r="14" spans="1:20" s="97" customFormat="1" ht="15.75">
      <c r="A14" s="105" t="s">
        <v>8</v>
      </c>
      <c r="B14" s="96" t="s">
        <v>179</v>
      </c>
      <c r="C14" s="101">
        <v>385</v>
      </c>
      <c r="D14" s="101">
        <v>381</v>
      </c>
      <c r="E14" s="101">
        <f>189+196</f>
        <v>385</v>
      </c>
      <c r="F14" s="101">
        <v>178</v>
      </c>
      <c r="G14" s="101">
        <v>184</v>
      </c>
      <c r="H14" s="174">
        <v>439</v>
      </c>
      <c r="I14" s="174">
        <v>443</v>
      </c>
      <c r="J14" s="101"/>
      <c r="K14" s="101"/>
      <c r="L14" s="101"/>
      <c r="M14" s="163">
        <f t="shared" si="0"/>
        <v>2395</v>
      </c>
      <c r="N14" s="95">
        <v>2</v>
      </c>
      <c r="O14" s="95">
        <v>6</v>
      </c>
      <c r="P14" s="103">
        <v>-60</v>
      </c>
      <c r="Q14" s="95">
        <v>0</v>
      </c>
      <c r="R14" s="104"/>
      <c r="S14" s="104"/>
      <c r="T14" s="104">
        <v>1</v>
      </c>
    </row>
    <row r="15" spans="1:20" s="115" customFormat="1" ht="15.75">
      <c r="A15" s="121" t="s">
        <v>9</v>
      </c>
      <c r="B15" s="114" t="s">
        <v>20</v>
      </c>
      <c r="C15" s="116"/>
      <c r="D15" s="177">
        <v>448</v>
      </c>
      <c r="E15" s="177">
        <v>456</v>
      </c>
      <c r="F15" s="114">
        <v>201</v>
      </c>
      <c r="G15" s="114">
        <v>214</v>
      </c>
      <c r="H15" s="116">
        <v>429</v>
      </c>
      <c r="I15" s="114">
        <v>394</v>
      </c>
      <c r="J15" s="116">
        <v>408</v>
      </c>
      <c r="K15" s="116"/>
      <c r="L15" s="116"/>
      <c r="M15" s="167">
        <f t="shared" si="0"/>
        <v>2550</v>
      </c>
      <c r="N15" s="113">
        <v>2</v>
      </c>
      <c r="O15" s="113">
        <v>6</v>
      </c>
      <c r="P15" s="118">
        <v>-79</v>
      </c>
      <c r="Q15" s="113">
        <v>0</v>
      </c>
      <c r="R15" s="119"/>
      <c r="S15" s="119"/>
      <c r="T15" s="119">
        <v>1</v>
      </c>
    </row>
    <row r="16" spans="1:20" s="97" customFormat="1" ht="15.75">
      <c r="A16" s="105" t="s">
        <v>10</v>
      </c>
      <c r="B16" s="96" t="s">
        <v>259</v>
      </c>
      <c r="C16" s="96"/>
      <c r="D16" s="96">
        <v>384</v>
      </c>
      <c r="E16" s="232">
        <v>417</v>
      </c>
      <c r="F16" s="96">
        <v>195</v>
      </c>
      <c r="G16" s="96">
        <v>209</v>
      </c>
      <c r="H16" s="96">
        <v>392</v>
      </c>
      <c r="I16" s="232">
        <v>412</v>
      </c>
      <c r="J16" s="232">
        <v>430</v>
      </c>
      <c r="K16" s="96"/>
      <c r="L16" s="96"/>
      <c r="M16" s="163">
        <f t="shared" si="0"/>
        <v>2439</v>
      </c>
      <c r="N16" s="95">
        <v>5</v>
      </c>
      <c r="O16" s="95">
        <v>3</v>
      </c>
      <c r="P16" s="103">
        <v>40</v>
      </c>
      <c r="Q16" s="95">
        <v>2</v>
      </c>
      <c r="R16" s="104">
        <v>1</v>
      </c>
      <c r="S16" s="104"/>
      <c r="T16" s="104"/>
    </row>
    <row r="17" spans="1:20" s="115" customFormat="1" ht="15.75">
      <c r="A17" s="121" t="s">
        <v>11</v>
      </c>
      <c r="B17" s="114" t="s">
        <v>178</v>
      </c>
      <c r="C17" s="116"/>
      <c r="D17" s="224">
        <v>439</v>
      </c>
      <c r="E17" s="224">
        <v>482</v>
      </c>
      <c r="F17" s="114"/>
      <c r="G17" s="114">
        <v>210</v>
      </c>
      <c r="H17" s="116">
        <v>411</v>
      </c>
      <c r="I17" s="116">
        <v>418</v>
      </c>
      <c r="J17" s="181">
        <v>428</v>
      </c>
      <c r="K17" s="116"/>
      <c r="L17" s="116">
        <v>172</v>
      </c>
      <c r="M17" s="167">
        <f t="shared" si="0"/>
        <v>2560</v>
      </c>
      <c r="N17" s="113">
        <v>3</v>
      </c>
      <c r="O17" s="113">
        <v>5</v>
      </c>
      <c r="P17" s="113">
        <v>-17</v>
      </c>
      <c r="Q17" s="113">
        <v>0</v>
      </c>
      <c r="R17" s="119"/>
      <c r="S17" s="119"/>
      <c r="T17" s="119">
        <v>1</v>
      </c>
    </row>
    <row r="18" spans="1:20" s="97" customFormat="1" ht="15.75">
      <c r="A18" s="105" t="s">
        <v>12</v>
      </c>
      <c r="B18" s="100" t="s">
        <v>17</v>
      </c>
      <c r="C18" s="101"/>
      <c r="D18" s="232">
        <v>429</v>
      </c>
      <c r="E18" s="96">
        <v>384</v>
      </c>
      <c r="F18" s="96"/>
      <c r="G18" s="96"/>
      <c r="H18" s="230">
        <v>422</v>
      </c>
      <c r="I18" s="101">
        <v>382</v>
      </c>
      <c r="J18" s="230">
        <v>443</v>
      </c>
      <c r="K18" s="101"/>
      <c r="L18" s="101">
        <v>395</v>
      </c>
      <c r="M18" s="163">
        <f t="shared" si="0"/>
        <v>2455</v>
      </c>
      <c r="N18" s="95">
        <v>5</v>
      </c>
      <c r="O18" s="95">
        <v>3</v>
      </c>
      <c r="P18" s="95">
        <v>11</v>
      </c>
      <c r="Q18" s="95">
        <v>2</v>
      </c>
      <c r="R18" s="104">
        <v>1</v>
      </c>
      <c r="S18" s="104"/>
      <c r="T18" s="104"/>
    </row>
    <row r="19" spans="1:20" s="97" customFormat="1" ht="15.75">
      <c r="A19" s="105" t="s">
        <v>13</v>
      </c>
      <c r="B19" s="96" t="s">
        <v>18</v>
      </c>
      <c r="C19" s="101">
        <v>369</v>
      </c>
      <c r="D19" s="232">
        <v>401</v>
      </c>
      <c r="E19" s="96">
        <v>175</v>
      </c>
      <c r="F19" s="96">
        <v>194</v>
      </c>
      <c r="G19" s="96">
        <v>182</v>
      </c>
      <c r="H19" s="230">
        <v>423</v>
      </c>
      <c r="I19" s="101">
        <v>192</v>
      </c>
      <c r="J19" s="230">
        <v>409</v>
      </c>
      <c r="K19" s="101"/>
      <c r="L19" s="101"/>
      <c r="M19" s="163">
        <f t="shared" si="0"/>
        <v>2345</v>
      </c>
      <c r="N19" s="95">
        <v>5</v>
      </c>
      <c r="O19" s="95">
        <v>3</v>
      </c>
      <c r="P19" s="95">
        <v>26</v>
      </c>
      <c r="Q19" s="95">
        <v>2</v>
      </c>
      <c r="R19" s="104">
        <v>1</v>
      </c>
      <c r="S19" s="104"/>
      <c r="T19" s="104"/>
    </row>
    <row r="20" spans="1:20" s="115" customFormat="1" ht="16.5" thickBot="1">
      <c r="A20" s="121" t="s">
        <v>14</v>
      </c>
      <c r="B20" s="120" t="s">
        <v>23</v>
      </c>
      <c r="C20" s="125">
        <v>402</v>
      </c>
      <c r="D20" s="235">
        <v>452</v>
      </c>
      <c r="E20" s="235">
        <v>421</v>
      </c>
      <c r="F20" s="125"/>
      <c r="G20" s="125"/>
      <c r="H20" s="125">
        <v>410</v>
      </c>
      <c r="I20" s="125"/>
      <c r="J20" s="125">
        <v>412</v>
      </c>
      <c r="K20" s="125"/>
      <c r="L20" s="125">
        <v>399</v>
      </c>
      <c r="M20" s="127">
        <f t="shared" si="0"/>
        <v>2496</v>
      </c>
      <c r="N20" s="128">
        <v>2</v>
      </c>
      <c r="O20" s="128">
        <v>6</v>
      </c>
      <c r="P20" s="129">
        <v>-169</v>
      </c>
      <c r="Q20" s="128">
        <v>0</v>
      </c>
      <c r="R20" s="130"/>
      <c r="S20" s="130"/>
      <c r="T20" s="130">
        <v>1</v>
      </c>
    </row>
    <row r="21" spans="3:20" ht="16.5" thickTop="1">
      <c r="C21" s="6">
        <f aca="true" t="shared" si="1" ref="C21:L21">SUM(C6:C20)</f>
        <v>3951</v>
      </c>
      <c r="D21" s="6">
        <f t="shared" si="1"/>
        <v>6299</v>
      </c>
      <c r="E21" s="35">
        <f>SUM(E6:E18)+SUM(E20)</f>
        <v>5768</v>
      </c>
      <c r="F21" s="6">
        <f>SUM(F20)</f>
        <v>0</v>
      </c>
      <c r="G21" s="6">
        <f>SUM(G20)</f>
        <v>0</v>
      </c>
      <c r="H21" s="6">
        <f t="shared" si="1"/>
        <v>6233</v>
      </c>
      <c r="I21" s="35">
        <f>SUM(I6:I18)+SUM(I20)</f>
        <v>4881</v>
      </c>
      <c r="J21" s="6">
        <f t="shared" si="1"/>
        <v>3789</v>
      </c>
      <c r="K21" s="6">
        <f t="shared" si="1"/>
        <v>0</v>
      </c>
      <c r="L21" s="6">
        <f t="shared" si="1"/>
        <v>3298</v>
      </c>
      <c r="R21" s="2">
        <f>SUM(R6:R20)</f>
        <v>8</v>
      </c>
      <c r="S21" s="2">
        <f>SUM(S6:S20)</f>
        <v>0</v>
      </c>
      <c r="T21" s="2">
        <f>SUM(T6:T20)</f>
        <v>7</v>
      </c>
    </row>
    <row r="22" spans="2:12" ht="15.75">
      <c r="B22" s="1" t="s">
        <v>194</v>
      </c>
      <c r="C22" s="6">
        <f aca="true" t="shared" si="2" ref="C22:L22">COUNT(C6:C20)</f>
        <v>10</v>
      </c>
      <c r="D22" s="6">
        <f t="shared" si="2"/>
        <v>15</v>
      </c>
      <c r="E22" s="7">
        <f>COUNT(E6:E18)+COUNT(E20)</f>
        <v>14</v>
      </c>
      <c r="F22" s="6">
        <f>COUNT(F20)</f>
        <v>0</v>
      </c>
      <c r="G22" s="6">
        <f>COUNT(G20)</f>
        <v>0</v>
      </c>
      <c r="H22" s="6">
        <f t="shared" si="2"/>
        <v>15</v>
      </c>
      <c r="I22" s="7">
        <f>COUNT(I6:I18)+COUNT(I20)</f>
        <v>12</v>
      </c>
      <c r="J22" s="6">
        <f t="shared" si="2"/>
        <v>9</v>
      </c>
      <c r="K22" s="6">
        <f t="shared" si="2"/>
        <v>0</v>
      </c>
      <c r="L22" s="6">
        <f t="shared" si="2"/>
        <v>9</v>
      </c>
    </row>
    <row r="23" spans="2:20" ht="31.5">
      <c r="B23" s="11" t="s">
        <v>112</v>
      </c>
      <c r="C23" s="86">
        <f>C21/C22</f>
        <v>395.1</v>
      </c>
      <c r="D23" s="86">
        <f>D21/D22</f>
        <v>419.93333333333334</v>
      </c>
      <c r="E23" s="17">
        <f>E21/E22</f>
        <v>412</v>
      </c>
      <c r="F23" s="86"/>
      <c r="G23" s="86"/>
      <c r="H23" s="86">
        <f>AVERAGE(H6:H20)</f>
        <v>415.53333333333336</v>
      </c>
      <c r="I23" s="17">
        <f>I21/I22</f>
        <v>406.75</v>
      </c>
      <c r="J23" s="86">
        <f>AVERAGE(J6:J20)</f>
        <v>421</v>
      </c>
      <c r="K23" s="86"/>
      <c r="L23" s="86">
        <f>L21/L22</f>
        <v>366.44444444444446</v>
      </c>
      <c r="M23" s="3" t="s">
        <v>27</v>
      </c>
      <c r="N23" s="308" t="s">
        <v>102</v>
      </c>
      <c r="O23" s="308"/>
      <c r="P23" s="3" t="s">
        <v>28</v>
      </c>
      <c r="Q23" s="10" t="s">
        <v>103</v>
      </c>
      <c r="S23" s="40" t="s">
        <v>111</v>
      </c>
      <c r="T23" s="40" t="s">
        <v>192</v>
      </c>
    </row>
    <row r="24" spans="3:20" ht="15.7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6">
        <f>SUM(M6:M20)</f>
        <v>36720</v>
      </c>
      <c r="N24" s="1">
        <f>SUM(N6:N20)</f>
        <v>58</v>
      </c>
      <c r="O24" s="1">
        <f>SUM(O6:O20)</f>
        <v>62</v>
      </c>
      <c r="P24" s="1">
        <f>SUM(P6:P20)</f>
        <v>17</v>
      </c>
      <c r="Q24" s="1">
        <f>SUM(Q6:Q20)</f>
        <v>16</v>
      </c>
      <c r="S24" s="2">
        <f>N24-O24</f>
        <v>-4</v>
      </c>
      <c r="T24" s="2">
        <f>SUM(R21:T21)</f>
        <v>15</v>
      </c>
    </row>
    <row r="25" spans="3:10" ht="15.75">
      <c r="C25" s="309" t="s">
        <v>33</v>
      </c>
      <c r="D25" s="309"/>
      <c r="E25" s="9"/>
      <c r="F25" s="311" t="s">
        <v>117</v>
      </c>
      <c r="G25" s="311"/>
      <c r="I25" s="310" t="s">
        <v>118</v>
      </c>
      <c r="J25" s="310"/>
    </row>
    <row r="26" spans="1:20" ht="16.5" thickBo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62"/>
      <c r="S26" s="62"/>
      <c r="T26" s="62"/>
    </row>
    <row r="27" ht="15.75">
      <c r="I27" s="15"/>
    </row>
    <row r="28" spans="2:20" ht="39" customHeight="1" thickBot="1">
      <c r="B28" s="5" t="s">
        <v>22</v>
      </c>
      <c r="C28" s="59" t="s">
        <v>182</v>
      </c>
      <c r="D28" s="59" t="s">
        <v>272</v>
      </c>
      <c r="E28" s="59" t="s">
        <v>183</v>
      </c>
      <c r="F28" s="59" t="s">
        <v>239</v>
      </c>
      <c r="G28" s="8" t="s">
        <v>274</v>
      </c>
      <c r="H28" s="59" t="s">
        <v>46</v>
      </c>
      <c r="I28" s="59" t="s">
        <v>186</v>
      </c>
      <c r="J28" s="59" t="s">
        <v>184</v>
      </c>
      <c r="K28" s="59" t="s">
        <v>273</v>
      </c>
      <c r="L28" s="59" t="s">
        <v>185</v>
      </c>
      <c r="M28" s="3" t="s">
        <v>27</v>
      </c>
      <c r="N28" s="3" t="s">
        <v>180</v>
      </c>
      <c r="O28" s="3" t="s">
        <v>26</v>
      </c>
      <c r="P28" s="3" t="s">
        <v>28</v>
      </c>
      <c r="Q28" s="10" t="s">
        <v>101</v>
      </c>
      <c r="R28" s="2" t="s">
        <v>162</v>
      </c>
      <c r="S28" s="2" t="s">
        <v>163</v>
      </c>
      <c r="T28" s="2" t="s">
        <v>164</v>
      </c>
    </row>
    <row r="29" spans="1:18" s="227" customFormat="1" ht="15.75">
      <c r="A29" s="227" t="s">
        <v>286</v>
      </c>
      <c r="B29" s="225" t="s">
        <v>177</v>
      </c>
      <c r="C29" s="232">
        <v>404</v>
      </c>
      <c r="D29" s="228">
        <v>394</v>
      </c>
      <c r="E29" s="230">
        <v>453</v>
      </c>
      <c r="F29" s="228"/>
      <c r="G29" s="228">
        <v>396</v>
      </c>
      <c r="H29" s="228"/>
      <c r="I29" s="230">
        <v>442</v>
      </c>
      <c r="J29" s="230">
        <v>408</v>
      </c>
      <c r="K29" s="228"/>
      <c r="L29" s="228"/>
      <c r="M29" s="159">
        <f>SUM(C29:L29)</f>
        <v>2497</v>
      </c>
      <c r="N29" s="227">
        <v>6</v>
      </c>
      <c r="O29" s="227">
        <v>2</v>
      </c>
      <c r="P29" s="227">
        <v>154</v>
      </c>
      <c r="Q29" s="227">
        <v>2</v>
      </c>
      <c r="R29" s="227">
        <v>1</v>
      </c>
    </row>
    <row r="30" spans="1:18" s="204" customFormat="1" ht="15.75">
      <c r="A30" s="204" t="s">
        <v>287</v>
      </c>
      <c r="B30" s="204" t="s">
        <v>15</v>
      </c>
      <c r="D30" s="181">
        <v>462</v>
      </c>
      <c r="E30" s="181">
        <v>443</v>
      </c>
      <c r="F30" s="220"/>
      <c r="G30" s="116">
        <v>403</v>
      </c>
      <c r="H30" s="181">
        <v>423</v>
      </c>
      <c r="I30" s="116">
        <v>395</v>
      </c>
      <c r="J30" s="181">
        <v>433</v>
      </c>
      <c r="K30" s="116"/>
      <c r="L30" s="116"/>
      <c r="M30" s="162">
        <f aca="true" t="shared" si="3" ref="M30:M43">SUM(C30:L30)</f>
        <v>2559</v>
      </c>
      <c r="N30" s="204">
        <v>6</v>
      </c>
      <c r="O30" s="204">
        <v>2</v>
      </c>
      <c r="P30" s="204">
        <v>60</v>
      </c>
      <c r="Q30" s="204">
        <v>2</v>
      </c>
      <c r="R30" s="204">
        <v>1</v>
      </c>
    </row>
    <row r="31" spans="1:18" s="227" customFormat="1" ht="15.75">
      <c r="A31" s="227" t="s">
        <v>136</v>
      </c>
      <c r="B31" s="228" t="s">
        <v>218</v>
      </c>
      <c r="C31" s="227">
        <v>387</v>
      </c>
      <c r="D31" s="230">
        <v>405</v>
      </c>
      <c r="E31" s="230">
        <v>411</v>
      </c>
      <c r="F31" s="225"/>
      <c r="G31" s="228">
        <v>191</v>
      </c>
      <c r="H31" s="230">
        <v>414</v>
      </c>
      <c r="I31" s="228"/>
      <c r="J31" s="230">
        <v>421</v>
      </c>
      <c r="K31" s="228"/>
      <c r="L31" s="228">
        <v>176</v>
      </c>
      <c r="M31" s="159">
        <f t="shared" si="3"/>
        <v>2405</v>
      </c>
      <c r="N31" s="227">
        <v>6</v>
      </c>
      <c r="O31" s="227">
        <v>2</v>
      </c>
      <c r="P31" s="227">
        <v>16</v>
      </c>
      <c r="Q31" s="227">
        <v>2</v>
      </c>
      <c r="R31" s="227">
        <v>1</v>
      </c>
    </row>
    <row r="32" spans="1:18" s="204" customFormat="1" ht="15.75">
      <c r="A32" s="204" t="s">
        <v>137</v>
      </c>
      <c r="B32" s="220" t="s">
        <v>258</v>
      </c>
      <c r="C32" s="224">
        <v>425</v>
      </c>
      <c r="D32" s="181">
        <v>417</v>
      </c>
      <c r="E32" s="116"/>
      <c r="F32" s="116"/>
      <c r="G32" s="181">
        <v>484</v>
      </c>
      <c r="H32" s="116">
        <v>415</v>
      </c>
      <c r="I32" s="116">
        <v>390</v>
      </c>
      <c r="J32" s="116">
        <v>402</v>
      </c>
      <c r="K32" s="116"/>
      <c r="L32" s="116"/>
      <c r="M32" s="162">
        <f t="shared" si="3"/>
        <v>2533</v>
      </c>
      <c r="N32" s="204">
        <v>5</v>
      </c>
      <c r="O32" s="204">
        <v>3</v>
      </c>
      <c r="P32" s="204">
        <v>92</v>
      </c>
      <c r="Q32" s="204">
        <v>2</v>
      </c>
      <c r="R32" s="204">
        <v>1</v>
      </c>
    </row>
    <row r="33" spans="1:18" s="227" customFormat="1" ht="15.75">
      <c r="A33" s="227" t="s">
        <v>138</v>
      </c>
      <c r="B33" s="225" t="s">
        <v>257</v>
      </c>
      <c r="C33" s="227">
        <v>374</v>
      </c>
      <c r="D33" s="228">
        <v>215</v>
      </c>
      <c r="E33" s="230">
        <v>445</v>
      </c>
      <c r="F33" s="228">
        <v>170</v>
      </c>
      <c r="G33" s="228">
        <v>372</v>
      </c>
      <c r="H33" s="228"/>
      <c r="I33" s="230">
        <v>399</v>
      </c>
      <c r="J33" s="230">
        <v>417</v>
      </c>
      <c r="K33" s="228"/>
      <c r="L33" s="228"/>
      <c r="M33" s="159">
        <f t="shared" si="3"/>
        <v>2392</v>
      </c>
      <c r="N33" s="227">
        <v>5</v>
      </c>
      <c r="O33" s="227">
        <v>3</v>
      </c>
      <c r="P33" s="227">
        <v>81</v>
      </c>
      <c r="Q33" s="227">
        <v>2</v>
      </c>
      <c r="R33" s="227">
        <v>1</v>
      </c>
    </row>
    <row r="34" spans="1:18" s="204" customFormat="1" ht="15.75">
      <c r="A34" s="204" t="s">
        <v>139</v>
      </c>
      <c r="B34" s="220" t="s">
        <v>19</v>
      </c>
      <c r="C34" s="204">
        <v>402</v>
      </c>
      <c r="D34" s="181">
        <v>448</v>
      </c>
      <c r="E34" s="181">
        <v>424</v>
      </c>
      <c r="F34" s="116"/>
      <c r="G34" s="116">
        <v>409</v>
      </c>
      <c r="H34" s="181">
        <v>446</v>
      </c>
      <c r="I34" s="116"/>
      <c r="J34" s="181">
        <v>423</v>
      </c>
      <c r="K34" s="116"/>
      <c r="L34" s="116"/>
      <c r="M34" s="162">
        <f t="shared" si="3"/>
        <v>2552</v>
      </c>
      <c r="N34" s="204">
        <v>6</v>
      </c>
      <c r="O34" s="204">
        <v>2</v>
      </c>
      <c r="P34" s="204">
        <v>105</v>
      </c>
      <c r="Q34" s="204">
        <v>2</v>
      </c>
      <c r="R34" s="204">
        <v>1</v>
      </c>
    </row>
    <row r="35" spans="1:18" s="227" customFormat="1" ht="15.75">
      <c r="A35" s="227" t="s">
        <v>140</v>
      </c>
      <c r="B35" s="225" t="s">
        <v>220</v>
      </c>
      <c r="D35" s="230">
        <v>434</v>
      </c>
      <c r="E35" s="228">
        <v>393</v>
      </c>
      <c r="F35" s="228"/>
      <c r="G35" s="230">
        <v>404</v>
      </c>
      <c r="H35" s="228">
        <v>383</v>
      </c>
      <c r="I35" s="230">
        <v>406</v>
      </c>
      <c r="J35" s="228">
        <v>396</v>
      </c>
      <c r="K35" s="228"/>
      <c r="L35" s="228"/>
      <c r="M35" s="159">
        <f t="shared" si="3"/>
        <v>2416</v>
      </c>
      <c r="N35" s="227">
        <v>5</v>
      </c>
      <c r="O35" s="227">
        <v>3</v>
      </c>
      <c r="P35" s="227">
        <f>M35-2394</f>
        <v>22</v>
      </c>
      <c r="Q35" s="227">
        <v>2</v>
      </c>
      <c r="R35" s="227">
        <v>1</v>
      </c>
    </row>
    <row r="36" spans="1:20" s="204" customFormat="1" ht="15.75">
      <c r="A36" s="204" t="s">
        <v>141</v>
      </c>
      <c r="B36" s="204" t="s">
        <v>219</v>
      </c>
      <c r="D36" s="181">
        <v>453</v>
      </c>
      <c r="E36" s="181">
        <v>463</v>
      </c>
      <c r="F36" s="116"/>
      <c r="G36" s="116">
        <v>393</v>
      </c>
      <c r="H36" s="116">
        <v>422</v>
      </c>
      <c r="I36" s="181">
        <v>446</v>
      </c>
      <c r="J36" s="116">
        <v>428</v>
      </c>
      <c r="K36" s="116"/>
      <c r="L36" s="116"/>
      <c r="M36" s="162">
        <f t="shared" si="3"/>
        <v>2605</v>
      </c>
      <c r="N36" s="204">
        <v>3</v>
      </c>
      <c r="O36" s="204">
        <v>5</v>
      </c>
      <c r="P36" s="204">
        <v>-12</v>
      </c>
      <c r="Q36" s="204">
        <v>0</v>
      </c>
      <c r="T36" s="204">
        <v>1</v>
      </c>
    </row>
    <row r="37" spans="1:18" s="227" customFormat="1" ht="15.75">
      <c r="A37" s="227" t="s">
        <v>142</v>
      </c>
      <c r="B37" s="227" t="s">
        <v>23</v>
      </c>
      <c r="D37" s="230">
        <v>417</v>
      </c>
      <c r="E37" s="228">
        <v>397</v>
      </c>
      <c r="F37" s="228"/>
      <c r="G37" s="228"/>
      <c r="H37" s="230">
        <v>422</v>
      </c>
      <c r="I37" s="228">
        <v>367</v>
      </c>
      <c r="J37" s="230">
        <v>416</v>
      </c>
      <c r="K37" s="228"/>
      <c r="L37" s="228">
        <v>392</v>
      </c>
      <c r="M37" s="159">
        <f t="shared" si="3"/>
        <v>2411</v>
      </c>
      <c r="N37" s="227">
        <v>5</v>
      </c>
      <c r="O37" s="227">
        <v>3</v>
      </c>
      <c r="P37" s="227">
        <v>1</v>
      </c>
      <c r="Q37" s="227">
        <v>2</v>
      </c>
      <c r="R37" s="227">
        <v>1</v>
      </c>
    </row>
    <row r="38" spans="1:20" s="204" customFormat="1" ht="15.75">
      <c r="A38" s="204" t="s">
        <v>143</v>
      </c>
      <c r="B38" s="204" t="s">
        <v>18</v>
      </c>
      <c r="C38" s="204">
        <v>183</v>
      </c>
      <c r="D38" s="116">
        <v>402</v>
      </c>
      <c r="E38" s="181">
        <v>448</v>
      </c>
      <c r="F38" s="116"/>
      <c r="G38" s="116">
        <v>188</v>
      </c>
      <c r="H38" s="181">
        <v>428</v>
      </c>
      <c r="I38" s="116">
        <v>426</v>
      </c>
      <c r="J38" s="116">
        <v>423</v>
      </c>
      <c r="K38" s="116"/>
      <c r="L38" s="116"/>
      <c r="M38" s="162">
        <f t="shared" si="3"/>
        <v>2498</v>
      </c>
      <c r="N38" s="204">
        <v>2</v>
      </c>
      <c r="O38" s="204">
        <v>6</v>
      </c>
      <c r="P38" s="204">
        <v>-98</v>
      </c>
      <c r="Q38" s="204">
        <v>0</v>
      </c>
      <c r="T38" s="204">
        <v>1</v>
      </c>
    </row>
    <row r="39" spans="1:20" s="204" customFormat="1" ht="15.75">
      <c r="A39" s="204" t="s">
        <v>144</v>
      </c>
      <c r="B39" s="220" t="s">
        <v>17</v>
      </c>
      <c r="C39" s="204">
        <v>429</v>
      </c>
      <c r="D39" s="181">
        <v>442</v>
      </c>
      <c r="E39" s="181">
        <v>446</v>
      </c>
      <c r="F39" s="116">
        <v>410</v>
      </c>
      <c r="G39" s="116">
        <v>418</v>
      </c>
      <c r="H39" s="116">
        <v>440</v>
      </c>
      <c r="I39" s="116"/>
      <c r="J39" s="116"/>
      <c r="K39" s="116"/>
      <c r="L39" s="116"/>
      <c r="M39" s="162">
        <f t="shared" si="3"/>
        <v>2585</v>
      </c>
      <c r="N39" s="204">
        <v>2</v>
      </c>
      <c r="O39" s="204">
        <v>6</v>
      </c>
      <c r="P39" s="204">
        <f>M39-2683</f>
        <v>-98</v>
      </c>
      <c r="Q39" s="204">
        <v>0</v>
      </c>
      <c r="T39" s="204">
        <v>1</v>
      </c>
    </row>
    <row r="40" spans="1:18" s="227" customFormat="1" ht="15.75">
      <c r="A40" s="227" t="s">
        <v>145</v>
      </c>
      <c r="B40" s="225" t="s">
        <v>178</v>
      </c>
      <c r="C40" s="227">
        <v>391</v>
      </c>
      <c r="D40" s="230">
        <v>418</v>
      </c>
      <c r="E40" s="230">
        <v>428</v>
      </c>
      <c r="F40" s="228"/>
      <c r="G40" s="228">
        <v>366</v>
      </c>
      <c r="H40" s="230">
        <v>448</v>
      </c>
      <c r="I40" s="230">
        <v>402</v>
      </c>
      <c r="J40" s="228"/>
      <c r="K40" s="228"/>
      <c r="L40" s="228"/>
      <c r="M40" s="159">
        <f t="shared" si="3"/>
        <v>2453</v>
      </c>
      <c r="N40" s="227">
        <v>6</v>
      </c>
      <c r="O40" s="227">
        <v>2</v>
      </c>
      <c r="P40" s="227">
        <v>121</v>
      </c>
      <c r="Q40" s="227">
        <v>2</v>
      </c>
      <c r="R40" s="227">
        <v>1</v>
      </c>
    </row>
    <row r="41" spans="1:18" s="204" customFormat="1" ht="15.75">
      <c r="A41" s="204" t="s">
        <v>146</v>
      </c>
      <c r="B41" s="204" t="s">
        <v>259</v>
      </c>
      <c r="C41" s="204">
        <v>413</v>
      </c>
      <c r="D41" s="116">
        <v>429</v>
      </c>
      <c r="E41" s="181">
        <v>438</v>
      </c>
      <c r="F41" s="116"/>
      <c r="G41" s="116"/>
      <c r="H41" s="116">
        <v>429</v>
      </c>
      <c r="I41" s="181">
        <v>444</v>
      </c>
      <c r="J41" s="181">
        <v>493</v>
      </c>
      <c r="K41" s="116"/>
      <c r="L41" s="116"/>
      <c r="M41" s="162">
        <f t="shared" si="3"/>
        <v>2646</v>
      </c>
      <c r="N41" s="204">
        <v>5</v>
      </c>
      <c r="O41" s="204">
        <v>3</v>
      </c>
      <c r="P41" s="204">
        <v>62</v>
      </c>
      <c r="Q41" s="204">
        <v>2</v>
      </c>
      <c r="R41" s="204">
        <v>1</v>
      </c>
    </row>
    <row r="42" spans="1:18" s="227" customFormat="1" ht="15.75">
      <c r="A42" s="227" t="s">
        <v>147</v>
      </c>
      <c r="B42" s="227" t="s">
        <v>20</v>
      </c>
      <c r="C42" s="232">
        <v>398</v>
      </c>
      <c r="D42" s="228"/>
      <c r="E42" s="230">
        <v>421</v>
      </c>
      <c r="F42" s="225"/>
      <c r="G42" s="228">
        <v>189</v>
      </c>
      <c r="H42" s="230">
        <v>407</v>
      </c>
      <c r="I42" s="228">
        <v>388</v>
      </c>
      <c r="J42" s="230">
        <v>432</v>
      </c>
      <c r="K42" s="228"/>
      <c r="L42" s="228">
        <v>197</v>
      </c>
      <c r="M42" s="159">
        <f t="shared" si="3"/>
        <v>2432</v>
      </c>
      <c r="N42" s="227">
        <v>6</v>
      </c>
      <c r="O42" s="227">
        <v>2</v>
      </c>
      <c r="P42" s="227">
        <v>75</v>
      </c>
      <c r="Q42" s="227">
        <v>2</v>
      </c>
      <c r="R42" s="227">
        <v>1</v>
      </c>
    </row>
    <row r="43" spans="1:18" s="204" customFormat="1" ht="16.5" thickBot="1">
      <c r="A43" s="204" t="s">
        <v>148</v>
      </c>
      <c r="B43" s="220" t="s">
        <v>179</v>
      </c>
      <c r="C43" s="152">
        <v>395</v>
      </c>
      <c r="D43" s="125">
        <v>429</v>
      </c>
      <c r="E43" s="235">
        <v>433</v>
      </c>
      <c r="F43" s="125"/>
      <c r="G43" s="125"/>
      <c r="H43" s="125">
        <v>422</v>
      </c>
      <c r="I43" s="235">
        <v>472</v>
      </c>
      <c r="J43" s="235">
        <v>444</v>
      </c>
      <c r="K43" s="125"/>
      <c r="L43" s="126"/>
      <c r="M43" s="162">
        <f t="shared" si="3"/>
        <v>2595</v>
      </c>
      <c r="N43" s="204">
        <v>5</v>
      </c>
      <c r="O43" s="204">
        <v>3</v>
      </c>
      <c r="P43" s="204">
        <v>10</v>
      </c>
      <c r="Q43" s="204">
        <v>2</v>
      </c>
      <c r="R43" s="204">
        <v>1</v>
      </c>
    </row>
    <row r="44" spans="3:20" ht="16.5" thickTop="1">
      <c r="C44" s="35">
        <f>SUM(C29:C37)+SUM(C39:C43)</f>
        <v>4018</v>
      </c>
      <c r="D44" s="35">
        <f>SUM(D29:D32)+SUM(D34:D43)</f>
        <v>5550</v>
      </c>
      <c r="E44" s="35">
        <f aca="true" t="shared" si="4" ref="E44:K44">SUM(E29:E43)</f>
        <v>6043</v>
      </c>
      <c r="F44" s="35">
        <f>SUM(F34:F43)</f>
        <v>410</v>
      </c>
      <c r="G44" s="35">
        <f>SUM(G32:G37)+SUM(G29:G30)+SUM(G39:G41)</f>
        <v>3645</v>
      </c>
      <c r="H44" s="35">
        <f t="shared" si="4"/>
        <v>5499</v>
      </c>
      <c r="I44" s="35">
        <f t="shared" si="4"/>
        <v>4977</v>
      </c>
      <c r="J44" s="35">
        <f t="shared" si="4"/>
        <v>5536</v>
      </c>
      <c r="K44" s="35">
        <f t="shared" si="4"/>
        <v>0</v>
      </c>
      <c r="L44" s="35">
        <f>SUM(L32:L41)</f>
        <v>392</v>
      </c>
      <c r="N44" s="1">
        <f>SUM(N29:N43)</f>
        <v>73</v>
      </c>
      <c r="O44" s="1">
        <f>SUM(O29:O43)</f>
        <v>47</v>
      </c>
      <c r="P44" s="1">
        <f>SUM(P29:P43)</f>
        <v>591</v>
      </c>
      <c r="Q44" s="1">
        <f>SUM(Q29:Q43)</f>
        <v>24</v>
      </c>
      <c r="R44" s="1">
        <f>SUM(R29:R43)+R21</f>
        <v>20</v>
      </c>
      <c r="S44" s="1">
        <f>SUM(S29:S43)+S21</f>
        <v>0</v>
      </c>
      <c r="T44" s="1">
        <f>SUM(T29:T43)+T21</f>
        <v>10</v>
      </c>
    </row>
    <row r="45" spans="2:12" ht="15.75">
      <c r="B45" s="58" t="s">
        <v>213</v>
      </c>
      <c r="C45" s="21">
        <f>COUNT(C29:C37)+COUNT(C39:C43)</f>
        <v>10</v>
      </c>
      <c r="D45" s="21">
        <f>COUNT(D29:D32)+COUNT(D34:D43)</f>
        <v>13</v>
      </c>
      <c r="E45" s="21">
        <f>COUNT(E29:E43)</f>
        <v>14</v>
      </c>
      <c r="F45" s="21">
        <f>COUNT(F34:F43)</f>
        <v>1</v>
      </c>
      <c r="G45" s="35">
        <f>COUNT(G32:G37)+COUNT(G29:G30)+COUNT(G39:G41)</f>
        <v>9</v>
      </c>
      <c r="H45" s="21">
        <f>COUNT(H29:H42)+COUNT(#REF!)</f>
        <v>12</v>
      </c>
      <c r="I45" s="21">
        <f>COUNT(I29:I43)</f>
        <v>12</v>
      </c>
      <c r="J45" s="21">
        <f>COUNT(J29:J43)</f>
        <v>13</v>
      </c>
      <c r="K45" s="21">
        <f>COUNT(K29:K43)</f>
        <v>0</v>
      </c>
      <c r="L45" s="35">
        <f>COUNT(L32:L41)</f>
        <v>1</v>
      </c>
    </row>
    <row r="46" spans="2:20" ht="31.5">
      <c r="B46" s="11" t="s">
        <v>212</v>
      </c>
      <c r="C46" s="17">
        <f>C44/C45</f>
        <v>401.8</v>
      </c>
      <c r="D46" s="17">
        <f>D44/D45</f>
        <v>426.9230769230769</v>
      </c>
      <c r="E46" s="17">
        <f>E44/E45</f>
        <v>431.64285714285717</v>
      </c>
      <c r="F46" s="17">
        <f>F44/F45</f>
        <v>410</v>
      </c>
      <c r="G46" s="17">
        <f aca="true" t="shared" si="5" ref="G46:L46">G44/G45</f>
        <v>405</v>
      </c>
      <c r="H46" s="17">
        <f t="shared" si="5"/>
        <v>458.25</v>
      </c>
      <c r="I46" s="17">
        <f t="shared" si="5"/>
        <v>414.75</v>
      </c>
      <c r="J46" s="17">
        <f t="shared" si="5"/>
        <v>425.84615384615387</v>
      </c>
      <c r="K46" s="17" t="e">
        <f t="shared" si="5"/>
        <v>#DIV/0!</v>
      </c>
      <c r="L46" s="17">
        <f t="shared" si="5"/>
        <v>392</v>
      </c>
      <c r="M46" s="3" t="s">
        <v>27</v>
      </c>
      <c r="N46" s="308" t="s">
        <v>102</v>
      </c>
      <c r="O46" s="308"/>
      <c r="P46" s="3" t="s">
        <v>28</v>
      </c>
      <c r="Q46" s="10" t="s">
        <v>103</v>
      </c>
      <c r="S46" s="40" t="s">
        <v>111</v>
      </c>
      <c r="T46" s="40" t="s">
        <v>192</v>
      </c>
    </row>
    <row r="47" spans="13:20" ht="15.75">
      <c r="M47" s="6">
        <f>SUM(M29:M43)+M24</f>
        <v>74299</v>
      </c>
      <c r="N47" s="6">
        <f>SUM(N29:N43)</f>
        <v>73</v>
      </c>
      <c r="O47" s="6">
        <f>SUM(O29:O43)</f>
        <v>47</v>
      </c>
      <c r="P47" s="6">
        <f>SUM(P29:P43)+P24</f>
        <v>608</v>
      </c>
      <c r="Q47" s="6">
        <f>SUM(Q29:Q43)+Q24</f>
        <v>40</v>
      </c>
      <c r="S47" s="2">
        <f>N47-O47</f>
        <v>26</v>
      </c>
      <c r="T47" s="2">
        <f>SUM(R44:T44)</f>
        <v>30</v>
      </c>
    </row>
    <row r="49" spans="13:14" ht="15.75">
      <c r="M49" s="1" t="s">
        <v>113</v>
      </c>
      <c r="N49" s="18">
        <f>M47/T47</f>
        <v>2476.633333333333</v>
      </c>
    </row>
  </sheetData>
  <sheetProtection/>
  <mergeCells count="9">
    <mergeCell ref="N46:O46"/>
    <mergeCell ref="I25:J25"/>
    <mergeCell ref="G1:I1"/>
    <mergeCell ref="J1:L1"/>
    <mergeCell ref="C4:L4"/>
    <mergeCell ref="N4:O4"/>
    <mergeCell ref="C25:D25"/>
    <mergeCell ref="N23:O23"/>
    <mergeCell ref="F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V49"/>
  <sheetViews>
    <sheetView zoomScale="90" zoomScaleNormal="90" zoomScalePageLayoutView="0" workbookViewId="0" topLeftCell="B22">
      <selection activeCell="D43" sqref="D43"/>
    </sheetView>
  </sheetViews>
  <sheetFormatPr defaultColWidth="9.00390625" defaultRowHeight="12.75"/>
  <cols>
    <col min="1" max="1" width="13.375" style="1" customWidth="1"/>
    <col min="2" max="2" width="21.00390625" style="1" bestFit="1" customWidth="1"/>
    <col min="3" max="6" width="9.125" style="1" customWidth="1"/>
    <col min="7" max="8" width="12.625" style="1" customWidth="1"/>
    <col min="9" max="9" width="10.375" style="1" customWidth="1"/>
    <col min="10" max="10" width="11.25390625" style="1" customWidth="1"/>
    <col min="11" max="11" width="14.25390625" style="1" customWidth="1"/>
    <col min="12" max="12" width="12.25390625" style="1" customWidth="1"/>
    <col min="13" max="13" width="17.25390625" style="1" customWidth="1"/>
    <col min="14" max="14" width="14.00390625" style="1" customWidth="1"/>
    <col min="15" max="15" width="11.25390625" style="1" customWidth="1"/>
    <col min="16" max="16" width="13.375" style="1" bestFit="1" customWidth="1"/>
    <col min="17" max="17" width="13.375" style="1" customWidth="1"/>
    <col min="18" max="18" width="12.75390625" style="1" customWidth="1"/>
    <col min="20" max="21" width="11.875" style="0" customWidth="1"/>
  </cols>
  <sheetData>
    <row r="1" spans="1:14" ht="15.75">
      <c r="A1" s="27" t="s">
        <v>125</v>
      </c>
      <c r="B1" s="28"/>
      <c r="C1" s="28" t="s">
        <v>122</v>
      </c>
      <c r="D1" s="28" t="s">
        <v>260</v>
      </c>
      <c r="E1" s="306" t="s">
        <v>127</v>
      </c>
      <c r="F1" s="306"/>
      <c r="H1" s="301" t="s">
        <v>134</v>
      </c>
      <c r="I1" s="301"/>
      <c r="J1" s="11" t="s">
        <v>135</v>
      </c>
      <c r="K1" s="301" t="s">
        <v>111</v>
      </c>
      <c r="L1" s="301"/>
      <c r="M1" s="1" t="s">
        <v>113</v>
      </c>
      <c r="N1" s="18">
        <f>N24/U24</f>
        <v>2522.3333333333335</v>
      </c>
    </row>
    <row r="2" spans="8:14" ht="15.75">
      <c r="H2" s="1">
        <f>O24+N44</f>
        <v>109</v>
      </c>
      <c r="I2" s="1">
        <f>P24+O44</f>
        <v>131</v>
      </c>
      <c r="J2" s="1">
        <f>R24+Q44</f>
        <v>27</v>
      </c>
      <c r="K2" s="307">
        <f>H2-I2</f>
        <v>-22</v>
      </c>
      <c r="L2" s="307"/>
      <c r="M2" s="1" t="s">
        <v>198</v>
      </c>
      <c r="N2" s="6">
        <f>M6+M8+M10+M11+M13+M15+M17+M19+M30+M33+M35+M37+M39+M41+M43</f>
        <v>37627</v>
      </c>
    </row>
    <row r="4" spans="3:21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O4" s="308" t="s">
        <v>25</v>
      </c>
      <c r="P4" s="308"/>
      <c r="S4" s="2"/>
      <c r="T4" s="2"/>
      <c r="U4" s="2"/>
    </row>
    <row r="5" spans="2:20" ht="32.25" thickBot="1">
      <c r="B5" s="3" t="s">
        <v>22</v>
      </c>
      <c r="C5" s="82" t="s">
        <v>266</v>
      </c>
      <c r="D5" s="8" t="s">
        <v>57</v>
      </c>
      <c r="E5" s="8" t="s">
        <v>58</v>
      </c>
      <c r="F5" s="8" t="s">
        <v>241</v>
      </c>
      <c r="G5" s="8" t="s">
        <v>83</v>
      </c>
      <c r="H5" s="8" t="s">
        <v>32</v>
      </c>
      <c r="I5" s="8" t="s">
        <v>171</v>
      </c>
      <c r="J5" s="8" t="s">
        <v>30</v>
      </c>
      <c r="K5" s="8" t="s">
        <v>221</v>
      </c>
      <c r="L5" s="1" t="s">
        <v>285</v>
      </c>
      <c r="M5" s="3" t="s">
        <v>27</v>
      </c>
      <c r="N5" s="3" t="s">
        <v>21</v>
      </c>
      <c r="O5" s="3" t="s">
        <v>26</v>
      </c>
      <c r="P5" s="3" t="s">
        <v>28</v>
      </c>
      <c r="Q5" s="10" t="s">
        <v>101</v>
      </c>
      <c r="R5" s="2" t="s">
        <v>162</v>
      </c>
      <c r="S5" s="2" t="s">
        <v>163</v>
      </c>
      <c r="T5" s="2" t="s">
        <v>164</v>
      </c>
    </row>
    <row r="6" spans="1:20" s="115" customFormat="1" ht="15.75">
      <c r="A6" s="113" t="s">
        <v>0</v>
      </c>
      <c r="B6" s="120" t="s">
        <v>17</v>
      </c>
      <c r="C6" s="177">
        <v>473</v>
      </c>
      <c r="D6" s="114">
        <v>393</v>
      </c>
      <c r="E6" s="177">
        <v>426</v>
      </c>
      <c r="F6" s="114">
        <v>393</v>
      </c>
      <c r="G6" s="114">
        <v>414</v>
      </c>
      <c r="H6" s="177">
        <v>432</v>
      </c>
      <c r="I6" s="114"/>
      <c r="J6" s="114"/>
      <c r="K6" s="114"/>
      <c r="L6" s="117"/>
      <c r="M6" s="118">
        <f aca="true" t="shared" si="0" ref="M6:M17">SUM(C6:L6)</f>
        <v>2531</v>
      </c>
      <c r="N6" s="113">
        <v>5</v>
      </c>
      <c r="O6" s="113">
        <v>3</v>
      </c>
      <c r="P6" s="113">
        <v>3</v>
      </c>
      <c r="Q6" s="113">
        <v>2</v>
      </c>
      <c r="R6" s="131">
        <v>1</v>
      </c>
      <c r="S6" s="131"/>
      <c r="T6" s="131"/>
    </row>
    <row r="7" spans="1:20" s="138" customFormat="1" ht="15.75">
      <c r="A7" s="137" t="s">
        <v>1</v>
      </c>
      <c r="B7" s="96" t="s">
        <v>180</v>
      </c>
      <c r="C7" s="179">
        <v>419</v>
      </c>
      <c r="D7" s="96">
        <v>389</v>
      </c>
      <c r="E7" s="179">
        <v>403</v>
      </c>
      <c r="F7" s="96"/>
      <c r="G7" s="179">
        <v>407</v>
      </c>
      <c r="H7" s="179">
        <v>463</v>
      </c>
      <c r="I7" s="96"/>
      <c r="J7" s="96">
        <v>398</v>
      </c>
      <c r="K7" s="96"/>
      <c r="L7" s="102"/>
      <c r="M7" s="139">
        <f t="shared" si="0"/>
        <v>2479</v>
      </c>
      <c r="N7" s="137">
        <v>6</v>
      </c>
      <c r="O7" s="137">
        <v>2</v>
      </c>
      <c r="P7" s="137">
        <v>59</v>
      </c>
      <c r="Q7" s="137">
        <v>2</v>
      </c>
      <c r="R7" s="140">
        <v>1</v>
      </c>
      <c r="S7" s="140"/>
      <c r="T7" s="140"/>
    </row>
    <row r="8" spans="1:20" s="115" customFormat="1" ht="15.75">
      <c r="A8" s="113" t="s">
        <v>2</v>
      </c>
      <c r="B8" s="120" t="s">
        <v>23</v>
      </c>
      <c r="C8" s="177">
        <v>484</v>
      </c>
      <c r="D8" s="114">
        <v>417</v>
      </c>
      <c r="E8" s="114">
        <v>403</v>
      </c>
      <c r="F8" s="114">
        <v>391</v>
      </c>
      <c r="G8" s="114">
        <v>403</v>
      </c>
      <c r="H8" s="114">
        <v>436</v>
      </c>
      <c r="I8" s="114"/>
      <c r="J8" s="114"/>
      <c r="K8" s="114"/>
      <c r="L8" s="117"/>
      <c r="M8" s="118">
        <f t="shared" si="0"/>
        <v>2534</v>
      </c>
      <c r="N8" s="113">
        <v>1</v>
      </c>
      <c r="O8" s="113">
        <v>7</v>
      </c>
      <c r="P8" s="113">
        <v>-113</v>
      </c>
      <c r="Q8" s="113">
        <v>0</v>
      </c>
      <c r="R8" s="131"/>
      <c r="S8" s="131"/>
      <c r="T8" s="131">
        <v>1</v>
      </c>
    </row>
    <row r="9" spans="1:20" s="96" customFormat="1" ht="15.75">
      <c r="A9" s="96" t="s">
        <v>3</v>
      </c>
      <c r="B9" s="96" t="s">
        <v>219</v>
      </c>
      <c r="C9" s="179">
        <v>463</v>
      </c>
      <c r="D9" s="96">
        <v>399</v>
      </c>
      <c r="E9" s="96">
        <v>425</v>
      </c>
      <c r="G9" s="96">
        <v>417</v>
      </c>
      <c r="H9" s="179">
        <v>436</v>
      </c>
      <c r="J9" s="96">
        <v>403</v>
      </c>
      <c r="M9" s="141">
        <f t="shared" si="0"/>
        <v>2543</v>
      </c>
      <c r="N9" s="96">
        <v>2</v>
      </c>
      <c r="O9" s="96">
        <v>6</v>
      </c>
      <c r="P9" s="96">
        <v>-65</v>
      </c>
      <c r="Q9" s="96">
        <v>0</v>
      </c>
      <c r="T9" s="96">
        <v>1</v>
      </c>
    </row>
    <row r="10" spans="1:20" s="120" customFormat="1" ht="15.75">
      <c r="A10" s="120" t="s">
        <v>4</v>
      </c>
      <c r="B10" s="120" t="s">
        <v>18</v>
      </c>
      <c r="C10" s="177">
        <v>481</v>
      </c>
      <c r="D10" s="114">
        <v>392</v>
      </c>
      <c r="E10" s="114">
        <v>392</v>
      </c>
      <c r="F10" s="114"/>
      <c r="G10" s="114">
        <v>413</v>
      </c>
      <c r="H10" s="177">
        <v>413</v>
      </c>
      <c r="I10" s="114"/>
      <c r="J10" s="114">
        <v>386</v>
      </c>
      <c r="K10" s="114"/>
      <c r="L10" s="117"/>
      <c r="M10" s="132">
        <f t="shared" si="0"/>
        <v>2477</v>
      </c>
      <c r="N10" s="120">
        <v>2</v>
      </c>
      <c r="O10" s="120">
        <v>6</v>
      </c>
      <c r="P10" s="132">
        <v>-71</v>
      </c>
      <c r="Q10" s="120">
        <v>0</v>
      </c>
      <c r="R10" s="133"/>
      <c r="S10" s="133"/>
      <c r="T10" s="133">
        <v>1</v>
      </c>
    </row>
    <row r="11" spans="1:20" s="120" customFormat="1" ht="15.75">
      <c r="A11" s="120" t="s">
        <v>5</v>
      </c>
      <c r="B11" s="114" t="s">
        <v>19</v>
      </c>
      <c r="D11" s="114">
        <v>431</v>
      </c>
      <c r="E11" s="177">
        <v>432</v>
      </c>
      <c r="F11" s="177">
        <v>438</v>
      </c>
      <c r="G11" s="114">
        <v>420</v>
      </c>
      <c r="H11" s="177">
        <v>442</v>
      </c>
      <c r="I11" s="114"/>
      <c r="J11" s="114">
        <v>362</v>
      </c>
      <c r="K11" s="114"/>
      <c r="L11" s="117"/>
      <c r="M11" s="132">
        <f t="shared" si="0"/>
        <v>2525</v>
      </c>
      <c r="N11" s="120">
        <v>3</v>
      </c>
      <c r="O11" s="120">
        <v>5</v>
      </c>
      <c r="P11" s="132">
        <v>-46</v>
      </c>
      <c r="Q11" s="120">
        <v>0</v>
      </c>
      <c r="R11" s="133"/>
      <c r="S11" s="133"/>
      <c r="T11" s="133">
        <v>1</v>
      </c>
    </row>
    <row r="12" spans="1:20" s="96" customFormat="1" ht="15.75">
      <c r="A12" s="96" t="s">
        <v>6</v>
      </c>
      <c r="B12" s="96" t="s">
        <v>257</v>
      </c>
      <c r="C12" s="179">
        <v>457</v>
      </c>
      <c r="E12" s="179">
        <v>415</v>
      </c>
      <c r="F12" s="96">
        <v>401</v>
      </c>
      <c r="G12" s="179">
        <v>422</v>
      </c>
      <c r="H12" s="179">
        <v>420</v>
      </c>
      <c r="J12" s="96">
        <v>408</v>
      </c>
      <c r="L12" s="102"/>
      <c r="M12" s="141">
        <f t="shared" si="0"/>
        <v>2523</v>
      </c>
      <c r="N12" s="96">
        <v>6</v>
      </c>
      <c r="O12" s="96">
        <v>2</v>
      </c>
      <c r="P12" s="141">
        <f>M12-2442</f>
        <v>81</v>
      </c>
      <c r="Q12" s="96">
        <v>2</v>
      </c>
      <c r="R12" s="142">
        <v>1</v>
      </c>
      <c r="S12" s="142"/>
      <c r="T12" s="142"/>
    </row>
    <row r="13" spans="1:20" s="120" customFormat="1" ht="15.75">
      <c r="A13" s="120" t="s">
        <v>7</v>
      </c>
      <c r="B13" s="114" t="s">
        <v>258</v>
      </c>
      <c r="D13" s="114">
        <v>406</v>
      </c>
      <c r="E13" s="181">
        <v>444</v>
      </c>
      <c r="F13" s="116">
        <v>393</v>
      </c>
      <c r="G13" s="116">
        <v>414</v>
      </c>
      <c r="H13" s="181">
        <v>424</v>
      </c>
      <c r="I13" s="116"/>
      <c r="J13" s="181">
        <v>431</v>
      </c>
      <c r="K13" s="116"/>
      <c r="L13" s="117"/>
      <c r="M13" s="132">
        <f t="shared" si="0"/>
        <v>2512</v>
      </c>
      <c r="N13" s="120">
        <v>5</v>
      </c>
      <c r="O13" s="120">
        <v>3</v>
      </c>
      <c r="P13" s="132">
        <v>2</v>
      </c>
      <c r="Q13" s="120">
        <v>2</v>
      </c>
      <c r="R13" s="133">
        <v>1</v>
      </c>
      <c r="S13" s="133"/>
      <c r="T13" s="133"/>
    </row>
    <row r="14" spans="1:20" s="96" customFormat="1" ht="15.75">
      <c r="A14" s="96" t="s">
        <v>8</v>
      </c>
      <c r="B14" s="101" t="s">
        <v>218</v>
      </c>
      <c r="C14" s="179">
        <v>455</v>
      </c>
      <c r="D14" s="96">
        <v>408</v>
      </c>
      <c r="E14" s="96">
        <v>417</v>
      </c>
      <c r="F14" s="96">
        <v>411</v>
      </c>
      <c r="G14" s="179">
        <v>418</v>
      </c>
      <c r="J14" s="96">
        <v>409</v>
      </c>
      <c r="L14" s="102"/>
      <c r="M14" s="141">
        <f t="shared" si="0"/>
        <v>2518</v>
      </c>
      <c r="N14" s="96">
        <v>2</v>
      </c>
      <c r="O14" s="96">
        <v>6</v>
      </c>
      <c r="P14" s="96">
        <v>-19</v>
      </c>
      <c r="Q14" s="96">
        <v>0</v>
      </c>
      <c r="R14" s="142"/>
      <c r="S14" s="142"/>
      <c r="T14" s="142">
        <v>1</v>
      </c>
    </row>
    <row r="15" spans="1:20" s="120" customFormat="1" ht="15.75">
      <c r="A15" s="120" t="s">
        <v>9</v>
      </c>
      <c r="B15" s="120" t="s">
        <v>15</v>
      </c>
      <c r="C15" s="207">
        <v>473</v>
      </c>
      <c r="D15" s="202">
        <v>388</v>
      </c>
      <c r="E15" s="202">
        <v>410</v>
      </c>
      <c r="F15" s="202">
        <v>385</v>
      </c>
      <c r="G15" s="207">
        <v>451</v>
      </c>
      <c r="H15" s="207">
        <v>447</v>
      </c>
      <c r="I15" s="202"/>
      <c r="J15" s="202"/>
      <c r="K15" s="202"/>
      <c r="L15" s="203"/>
      <c r="M15" s="205">
        <v>2554</v>
      </c>
      <c r="N15" s="204">
        <v>5</v>
      </c>
      <c r="O15" s="204">
        <v>3</v>
      </c>
      <c r="P15" s="205">
        <v>30</v>
      </c>
      <c r="Q15" s="204">
        <v>2</v>
      </c>
      <c r="R15" s="206">
        <v>1</v>
      </c>
      <c r="S15" s="206"/>
      <c r="T15" s="206"/>
    </row>
    <row r="16" spans="1:20" s="96" customFormat="1" ht="15.75">
      <c r="A16" s="96" t="s">
        <v>10</v>
      </c>
      <c r="B16" s="96" t="s">
        <v>177</v>
      </c>
      <c r="C16" s="232">
        <v>475</v>
      </c>
      <c r="D16" s="96">
        <v>374</v>
      </c>
      <c r="E16" s="96">
        <v>401</v>
      </c>
      <c r="G16" s="96">
        <v>423</v>
      </c>
      <c r="H16" s="232">
        <v>449</v>
      </c>
      <c r="J16" s="232">
        <v>438</v>
      </c>
      <c r="L16" s="102"/>
      <c r="M16" s="141">
        <f t="shared" si="0"/>
        <v>2560</v>
      </c>
      <c r="N16" s="96">
        <v>5</v>
      </c>
      <c r="O16" s="96">
        <v>3</v>
      </c>
      <c r="P16" s="141">
        <v>86</v>
      </c>
      <c r="Q16" s="96">
        <v>2</v>
      </c>
      <c r="R16" s="142">
        <v>1</v>
      </c>
      <c r="S16" s="142"/>
      <c r="T16" s="142"/>
    </row>
    <row r="17" spans="1:22" s="120" customFormat="1" ht="15.75">
      <c r="A17" s="120" t="s">
        <v>11</v>
      </c>
      <c r="B17" s="114" t="s">
        <v>179</v>
      </c>
      <c r="C17" s="224">
        <v>488</v>
      </c>
      <c r="D17" s="116"/>
      <c r="E17" s="181">
        <v>429</v>
      </c>
      <c r="F17" s="116"/>
      <c r="G17" s="181">
        <v>438</v>
      </c>
      <c r="H17" s="116">
        <v>419</v>
      </c>
      <c r="I17" s="116"/>
      <c r="J17" s="116">
        <v>389</v>
      </c>
      <c r="K17" s="116"/>
      <c r="L17" s="221">
        <v>422</v>
      </c>
      <c r="M17" s="132">
        <f t="shared" si="0"/>
        <v>2585</v>
      </c>
      <c r="N17" s="135">
        <v>5</v>
      </c>
      <c r="O17" s="135">
        <v>3</v>
      </c>
      <c r="P17" s="134">
        <f>M17-2512</f>
        <v>73</v>
      </c>
      <c r="Q17" s="135">
        <v>2</v>
      </c>
      <c r="R17" s="136">
        <v>1</v>
      </c>
      <c r="S17" s="136"/>
      <c r="T17" s="136"/>
      <c r="U17" s="135"/>
      <c r="V17" s="135"/>
    </row>
    <row r="18" spans="1:20" s="96" customFormat="1" ht="15.75">
      <c r="A18" s="96" t="s">
        <v>12</v>
      </c>
      <c r="B18" s="96" t="s">
        <v>20</v>
      </c>
      <c r="E18" s="96">
        <v>405</v>
      </c>
      <c r="F18" s="232">
        <v>410</v>
      </c>
      <c r="G18" s="96">
        <v>406</v>
      </c>
      <c r="H18" s="232">
        <v>446</v>
      </c>
      <c r="J18" s="96">
        <v>397</v>
      </c>
      <c r="L18" s="102">
        <v>390</v>
      </c>
      <c r="M18" s="141">
        <f>SUM(C18:L18)</f>
        <v>2454</v>
      </c>
      <c r="N18" s="96">
        <v>2</v>
      </c>
      <c r="O18" s="96">
        <v>6</v>
      </c>
      <c r="P18" s="141">
        <v>-79</v>
      </c>
      <c r="Q18" s="96">
        <v>0</v>
      </c>
      <c r="R18" s="142"/>
      <c r="S18" s="142"/>
      <c r="T18" s="142">
        <v>1</v>
      </c>
    </row>
    <row r="19" spans="1:20" s="120" customFormat="1" ht="15.75">
      <c r="A19" s="120" t="s">
        <v>13</v>
      </c>
      <c r="B19" s="114" t="s">
        <v>259</v>
      </c>
      <c r="D19" s="114"/>
      <c r="E19" s="114">
        <v>400</v>
      </c>
      <c r="F19" s="114">
        <v>391</v>
      </c>
      <c r="G19" s="224">
        <v>440</v>
      </c>
      <c r="H19" s="224">
        <v>447</v>
      </c>
      <c r="I19" s="114"/>
      <c r="J19" s="114">
        <v>396</v>
      </c>
      <c r="K19" s="114"/>
      <c r="L19" s="117">
        <v>376</v>
      </c>
      <c r="M19" s="132">
        <f>SUM(C19:L19)</f>
        <v>2450</v>
      </c>
      <c r="N19" s="120">
        <v>2</v>
      </c>
      <c r="O19" s="120">
        <v>6</v>
      </c>
      <c r="P19" s="132">
        <v>-131</v>
      </c>
      <c r="Q19" s="120">
        <v>0</v>
      </c>
      <c r="R19" s="133"/>
      <c r="S19" s="133"/>
      <c r="T19" s="133">
        <v>1</v>
      </c>
    </row>
    <row r="20" spans="1:20" s="96" customFormat="1" ht="16.5" thickBot="1">
      <c r="A20" s="96" t="s">
        <v>14</v>
      </c>
      <c r="B20" s="96" t="s">
        <v>178</v>
      </c>
      <c r="C20" s="236">
        <v>466</v>
      </c>
      <c r="D20" s="108"/>
      <c r="E20" s="108">
        <v>418</v>
      </c>
      <c r="F20" s="108">
        <v>396</v>
      </c>
      <c r="G20" s="108">
        <v>437</v>
      </c>
      <c r="H20" s="236">
        <v>441</v>
      </c>
      <c r="I20" s="108"/>
      <c r="J20" s="108">
        <v>432</v>
      </c>
      <c r="K20" s="108"/>
      <c r="L20" s="109"/>
      <c r="M20" s="141">
        <f>SUM(C20:L20)</f>
        <v>2590</v>
      </c>
      <c r="N20" s="96">
        <v>2</v>
      </c>
      <c r="O20" s="96">
        <v>6</v>
      </c>
      <c r="P20" s="141">
        <v>-106</v>
      </c>
      <c r="Q20" s="96">
        <v>0</v>
      </c>
      <c r="R20" s="142"/>
      <c r="S20" s="142"/>
      <c r="T20" s="142">
        <v>1</v>
      </c>
    </row>
    <row r="21" spans="3:20" ht="16.5" thickTop="1">
      <c r="C21" s="6">
        <f aca="true" t="shared" si="1" ref="C21:L21">SUM(C6:C20)</f>
        <v>5134</v>
      </c>
      <c r="D21" s="6">
        <f t="shared" si="1"/>
        <v>3997</v>
      </c>
      <c r="E21" s="6">
        <f t="shared" si="1"/>
        <v>6220</v>
      </c>
      <c r="F21" s="6">
        <f t="shared" si="1"/>
        <v>4009</v>
      </c>
      <c r="G21" s="6">
        <f t="shared" si="1"/>
        <v>6323</v>
      </c>
      <c r="H21" s="6">
        <f t="shared" si="1"/>
        <v>6115</v>
      </c>
      <c r="I21" s="6">
        <f t="shared" si="1"/>
        <v>0</v>
      </c>
      <c r="J21" s="6">
        <f t="shared" si="1"/>
        <v>4849</v>
      </c>
      <c r="K21" s="6">
        <f t="shared" si="1"/>
        <v>0</v>
      </c>
      <c r="L21" s="6">
        <f t="shared" si="1"/>
        <v>1188</v>
      </c>
      <c r="R21" s="43">
        <f>SUM(R6:R20)</f>
        <v>7</v>
      </c>
      <c r="S21" s="43">
        <f>SUM(S6:S20)</f>
        <v>0</v>
      </c>
      <c r="T21" s="43">
        <f>SUM(T6:T20)</f>
        <v>8</v>
      </c>
    </row>
    <row r="22" spans="2:18" ht="15.75">
      <c r="B22" s="1" t="s">
        <v>161</v>
      </c>
      <c r="C22" s="6">
        <f aca="true" t="shared" si="2" ref="C22:L22">COUNT(C6:C20)</f>
        <v>11</v>
      </c>
      <c r="D22" s="6">
        <f t="shared" si="2"/>
        <v>10</v>
      </c>
      <c r="E22" s="6">
        <f t="shared" si="2"/>
        <v>15</v>
      </c>
      <c r="F22" s="6">
        <f t="shared" si="2"/>
        <v>10</v>
      </c>
      <c r="G22" s="6">
        <f t="shared" si="2"/>
        <v>15</v>
      </c>
      <c r="H22" s="6">
        <f t="shared" si="2"/>
        <v>14</v>
      </c>
      <c r="I22" s="6">
        <f t="shared" si="2"/>
        <v>0</v>
      </c>
      <c r="J22" s="6">
        <f t="shared" si="2"/>
        <v>12</v>
      </c>
      <c r="K22" s="6">
        <f t="shared" si="2"/>
        <v>0</v>
      </c>
      <c r="L22" s="6">
        <f t="shared" si="2"/>
        <v>3</v>
      </c>
      <c r="R22"/>
    </row>
    <row r="23" spans="2:21" ht="35.25" customHeight="1">
      <c r="B23" s="11" t="s">
        <v>112</v>
      </c>
      <c r="C23" s="16">
        <f aca="true" t="shared" si="3" ref="C23:J23">AVERAGE(C6:C20)</f>
        <v>466.72727272727275</v>
      </c>
      <c r="D23" s="16">
        <f t="shared" si="3"/>
        <v>399.7</v>
      </c>
      <c r="E23" s="16">
        <f t="shared" si="3"/>
        <v>414.6666666666667</v>
      </c>
      <c r="F23" s="16">
        <f t="shared" si="3"/>
        <v>400.9</v>
      </c>
      <c r="G23" s="16">
        <f t="shared" si="3"/>
        <v>421.53333333333336</v>
      </c>
      <c r="H23" s="16">
        <f t="shared" si="3"/>
        <v>436.7857142857143</v>
      </c>
      <c r="I23" s="16"/>
      <c r="J23" s="16">
        <f t="shared" si="3"/>
        <v>404.0833333333333</v>
      </c>
      <c r="K23" s="16"/>
      <c r="L23" s="16"/>
      <c r="M23" s="16"/>
      <c r="N23" s="3" t="s">
        <v>27</v>
      </c>
      <c r="O23" s="308" t="s">
        <v>102</v>
      </c>
      <c r="P23" s="308"/>
      <c r="Q23" s="3" t="s">
        <v>28</v>
      </c>
      <c r="R23" s="10" t="s">
        <v>103</v>
      </c>
      <c r="T23" s="41" t="s">
        <v>111</v>
      </c>
      <c r="U23" s="40" t="s">
        <v>192</v>
      </c>
    </row>
    <row r="24" spans="14:21" ht="15.75">
      <c r="N24" s="6">
        <f>SUM(M6:M20)</f>
        <v>37835</v>
      </c>
      <c r="O24" s="1">
        <f>SUM(N6:N20)</f>
        <v>53</v>
      </c>
      <c r="P24" s="1">
        <f>SUM(O6:O20)</f>
        <v>67</v>
      </c>
      <c r="Q24" s="1">
        <f>SUM(P6:P20)</f>
        <v>-296</v>
      </c>
      <c r="R24" s="1">
        <f>SUM(Q6:Q20)</f>
        <v>14</v>
      </c>
      <c r="T24" s="2">
        <f>O24-P24</f>
        <v>-14</v>
      </c>
      <c r="U24" s="2">
        <f>SUM(R21:T21)</f>
        <v>15</v>
      </c>
    </row>
    <row r="25" spans="3:10" ht="15.75">
      <c r="C25" s="309" t="s">
        <v>33</v>
      </c>
      <c r="D25" s="309"/>
      <c r="F25" s="311" t="s">
        <v>117</v>
      </c>
      <c r="G25" s="311"/>
      <c r="I25" s="314" t="s">
        <v>118</v>
      </c>
      <c r="J25" s="314"/>
    </row>
    <row r="26" spans="1:21" ht="16.5" thickBo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62"/>
      <c r="T26" s="62"/>
      <c r="U26" s="62"/>
    </row>
    <row r="27" spans="1:6" ht="15.75">
      <c r="A27" s="23"/>
      <c r="B27" s="21"/>
      <c r="C27" s="21"/>
      <c r="D27" s="21"/>
      <c r="E27" s="22"/>
      <c r="F27" s="21"/>
    </row>
    <row r="28" spans="2:20" ht="36.75" customHeight="1" thickBot="1">
      <c r="B28" s="3" t="s">
        <v>22</v>
      </c>
      <c r="C28" s="82" t="s">
        <v>266</v>
      </c>
      <c r="D28" s="8" t="s">
        <v>57</v>
      </c>
      <c r="E28" s="8" t="s">
        <v>58</v>
      </c>
      <c r="F28" s="8" t="s">
        <v>241</v>
      </c>
      <c r="G28" s="8" t="s">
        <v>83</v>
      </c>
      <c r="H28" s="8" t="s">
        <v>32</v>
      </c>
      <c r="I28" s="8" t="s">
        <v>171</v>
      </c>
      <c r="J28" s="8" t="s">
        <v>30</v>
      </c>
      <c r="K28" s="8" t="s">
        <v>221</v>
      </c>
      <c r="L28" s="39" t="s">
        <v>285</v>
      </c>
      <c r="M28" s="3" t="s">
        <v>27</v>
      </c>
      <c r="N28" s="3" t="s">
        <v>21</v>
      </c>
      <c r="O28" s="3" t="s">
        <v>26</v>
      </c>
      <c r="P28" s="3" t="s">
        <v>28</v>
      </c>
      <c r="Q28" s="10" t="s">
        <v>101</v>
      </c>
      <c r="R28" s="2" t="s">
        <v>162</v>
      </c>
      <c r="S28" s="2" t="s">
        <v>163</v>
      </c>
      <c r="T28" s="2" t="s">
        <v>164</v>
      </c>
    </row>
    <row r="29" spans="1:18" s="227" customFormat="1" ht="15.75">
      <c r="A29" s="227" t="s">
        <v>286</v>
      </c>
      <c r="B29" s="225" t="s">
        <v>258</v>
      </c>
      <c r="C29" s="232">
        <v>471</v>
      </c>
      <c r="D29" s="225"/>
      <c r="E29" s="232">
        <v>439</v>
      </c>
      <c r="F29" s="225"/>
      <c r="G29" s="225">
        <v>434</v>
      </c>
      <c r="H29" s="232">
        <v>450</v>
      </c>
      <c r="I29" s="225"/>
      <c r="J29" s="225">
        <v>427</v>
      </c>
      <c r="K29" s="225"/>
      <c r="L29" s="225">
        <v>428</v>
      </c>
      <c r="M29" s="159">
        <f>SUM(C29:L29)</f>
        <v>2649</v>
      </c>
      <c r="N29" s="227">
        <v>5</v>
      </c>
      <c r="O29" s="227">
        <v>3</v>
      </c>
      <c r="P29" s="227">
        <v>82</v>
      </c>
      <c r="Q29" s="227">
        <v>2</v>
      </c>
      <c r="R29" s="227">
        <v>1</v>
      </c>
    </row>
    <row r="30" spans="1:19" s="204" customFormat="1" ht="15" customHeight="1">
      <c r="A30" s="204" t="s">
        <v>287</v>
      </c>
      <c r="B30" s="220" t="s">
        <v>257</v>
      </c>
      <c r="C30" s="224">
        <v>477</v>
      </c>
      <c r="D30" s="220"/>
      <c r="E30" s="220">
        <v>399</v>
      </c>
      <c r="F30" s="220">
        <v>391</v>
      </c>
      <c r="G30" s="224">
        <v>456</v>
      </c>
      <c r="H30" s="220"/>
      <c r="I30" s="220"/>
      <c r="J30" s="220">
        <v>397</v>
      </c>
      <c r="K30" s="220"/>
      <c r="L30" s="220">
        <v>407</v>
      </c>
      <c r="M30" s="162">
        <f aca="true" t="shared" si="4" ref="M30:M43">SUM(C30:L30)</f>
        <v>2527</v>
      </c>
      <c r="N30" s="204">
        <v>4</v>
      </c>
      <c r="O30" s="204">
        <v>4</v>
      </c>
      <c r="P30" s="204">
        <v>9</v>
      </c>
      <c r="Q30" s="204">
        <v>1</v>
      </c>
      <c r="S30" s="204">
        <v>1</v>
      </c>
    </row>
    <row r="31" spans="1:18" s="227" customFormat="1" ht="15.75">
      <c r="A31" s="227" t="s">
        <v>136</v>
      </c>
      <c r="B31" s="225" t="s">
        <v>19</v>
      </c>
      <c r="C31" s="232">
        <v>464</v>
      </c>
      <c r="D31" s="225"/>
      <c r="E31" s="232">
        <v>441</v>
      </c>
      <c r="F31" s="225"/>
      <c r="G31" s="225">
        <v>396</v>
      </c>
      <c r="H31" s="232">
        <v>461</v>
      </c>
      <c r="I31" s="225"/>
      <c r="J31" s="232">
        <v>405</v>
      </c>
      <c r="K31" s="225"/>
      <c r="L31" s="225">
        <v>376</v>
      </c>
      <c r="M31" s="159">
        <f t="shared" si="4"/>
        <v>2543</v>
      </c>
      <c r="N31" s="227">
        <v>6</v>
      </c>
      <c r="O31" s="227">
        <v>2</v>
      </c>
      <c r="P31" s="227">
        <v>185</v>
      </c>
      <c r="Q31" s="227">
        <v>2</v>
      </c>
      <c r="R31" s="227">
        <v>1</v>
      </c>
    </row>
    <row r="32" spans="1:20" s="227" customFormat="1" ht="15.75">
      <c r="A32" s="227" t="s">
        <v>137</v>
      </c>
      <c r="B32" s="227" t="s">
        <v>18</v>
      </c>
      <c r="C32" s="232">
        <v>472</v>
      </c>
      <c r="D32" s="228"/>
      <c r="E32" s="230">
        <v>415</v>
      </c>
      <c r="F32" s="228"/>
      <c r="G32" s="228">
        <v>409</v>
      </c>
      <c r="H32" s="228">
        <v>410</v>
      </c>
      <c r="I32" s="228"/>
      <c r="J32" s="228">
        <v>406</v>
      </c>
      <c r="K32" s="228"/>
      <c r="L32" s="229">
        <v>407</v>
      </c>
      <c r="M32" s="159">
        <f t="shared" si="4"/>
        <v>2519</v>
      </c>
      <c r="N32" s="227">
        <v>2</v>
      </c>
      <c r="O32" s="227">
        <v>6</v>
      </c>
      <c r="P32" s="227">
        <v>-11</v>
      </c>
      <c r="Q32" s="227">
        <v>0</v>
      </c>
      <c r="T32" s="227">
        <v>1</v>
      </c>
    </row>
    <row r="33" spans="1:20" s="204" customFormat="1" ht="15.75">
      <c r="A33" s="204" t="s">
        <v>138</v>
      </c>
      <c r="B33" s="204" t="s">
        <v>219</v>
      </c>
      <c r="D33" s="220"/>
      <c r="E33" s="220"/>
      <c r="F33" s="220">
        <v>400</v>
      </c>
      <c r="G33" s="224">
        <v>438</v>
      </c>
      <c r="H33" s="224">
        <v>446</v>
      </c>
      <c r="I33" s="220"/>
      <c r="J33" s="224">
        <v>420</v>
      </c>
      <c r="K33" s="220">
        <v>386</v>
      </c>
      <c r="L33" s="220">
        <v>406</v>
      </c>
      <c r="M33" s="162">
        <f t="shared" si="4"/>
        <v>2496</v>
      </c>
      <c r="N33" s="204">
        <v>3</v>
      </c>
      <c r="O33" s="204">
        <v>5</v>
      </c>
      <c r="P33" s="204">
        <v>-13</v>
      </c>
      <c r="Q33" s="204">
        <v>0</v>
      </c>
      <c r="T33" s="204">
        <v>1</v>
      </c>
    </row>
    <row r="34" spans="1:20" s="227" customFormat="1" ht="15.75">
      <c r="A34" s="227" t="s">
        <v>139</v>
      </c>
      <c r="B34" s="227" t="s">
        <v>23</v>
      </c>
      <c r="C34" s="232">
        <v>459</v>
      </c>
      <c r="D34" s="225">
        <v>415</v>
      </c>
      <c r="E34" s="225"/>
      <c r="F34" s="225">
        <v>398</v>
      </c>
      <c r="G34" s="225"/>
      <c r="H34" s="232">
        <v>448</v>
      </c>
      <c r="I34" s="225"/>
      <c r="J34" s="232">
        <v>455</v>
      </c>
      <c r="K34" s="225"/>
      <c r="L34" s="225">
        <v>406</v>
      </c>
      <c r="M34" s="159">
        <f t="shared" si="4"/>
        <v>2581</v>
      </c>
      <c r="N34" s="227">
        <v>3</v>
      </c>
      <c r="O34" s="227">
        <v>5</v>
      </c>
      <c r="P34" s="227">
        <v>-116</v>
      </c>
      <c r="Q34" s="227">
        <v>0</v>
      </c>
      <c r="T34" s="227">
        <v>1</v>
      </c>
    </row>
    <row r="35" spans="1:20" s="204" customFormat="1" ht="15.75">
      <c r="A35" s="204" t="s">
        <v>140</v>
      </c>
      <c r="B35" s="204" t="s">
        <v>180</v>
      </c>
      <c r="D35" s="224">
        <v>396</v>
      </c>
      <c r="E35" s="220"/>
      <c r="F35" s="220"/>
      <c r="G35" s="220">
        <v>369</v>
      </c>
      <c r="H35" s="224">
        <v>440</v>
      </c>
      <c r="I35" s="220"/>
      <c r="J35" s="220">
        <v>364</v>
      </c>
      <c r="K35" s="224">
        <v>432</v>
      </c>
      <c r="L35" s="220">
        <v>393</v>
      </c>
      <c r="M35" s="162">
        <f t="shared" si="4"/>
        <v>2394</v>
      </c>
      <c r="N35" s="204">
        <v>3</v>
      </c>
      <c r="O35" s="204">
        <v>5</v>
      </c>
      <c r="P35" s="204">
        <v>-22</v>
      </c>
      <c r="Q35" s="204">
        <v>0</v>
      </c>
      <c r="T35" s="204">
        <v>1</v>
      </c>
    </row>
    <row r="36" spans="1:20" s="227" customFormat="1" ht="15.75">
      <c r="A36" s="227" t="s">
        <v>141</v>
      </c>
      <c r="B36" s="225" t="s">
        <v>17</v>
      </c>
      <c r="D36" s="225">
        <v>402</v>
      </c>
      <c r="E36" s="225"/>
      <c r="F36" s="225">
        <v>395</v>
      </c>
      <c r="G36" s="232">
        <v>430</v>
      </c>
      <c r="H36" s="232">
        <v>430</v>
      </c>
      <c r="I36" s="225"/>
      <c r="J36" s="225"/>
      <c r="K36" s="232">
        <v>429</v>
      </c>
      <c r="L36" s="225">
        <v>354</v>
      </c>
      <c r="M36" s="159">
        <f t="shared" si="4"/>
        <v>2440</v>
      </c>
      <c r="N36" s="227">
        <v>3</v>
      </c>
      <c r="O36" s="227">
        <v>5</v>
      </c>
      <c r="P36" s="227">
        <v>-63</v>
      </c>
      <c r="Q36" s="227">
        <v>0</v>
      </c>
      <c r="T36" s="227">
        <v>1</v>
      </c>
    </row>
    <row r="37" spans="1:20" s="204" customFormat="1" ht="15.75">
      <c r="A37" s="204" t="s">
        <v>142</v>
      </c>
      <c r="B37" s="220" t="s">
        <v>178</v>
      </c>
      <c r="C37" s="224">
        <v>459</v>
      </c>
      <c r="D37" s="220"/>
      <c r="E37" s="220"/>
      <c r="F37" s="220">
        <v>408</v>
      </c>
      <c r="G37" s="220">
        <v>418</v>
      </c>
      <c r="H37" s="224">
        <v>441</v>
      </c>
      <c r="I37" s="220"/>
      <c r="J37" s="220">
        <v>390</v>
      </c>
      <c r="K37" s="224">
        <v>464</v>
      </c>
      <c r="L37" s="220"/>
      <c r="M37" s="162">
        <f t="shared" si="4"/>
        <v>2580</v>
      </c>
      <c r="N37" s="204">
        <v>3</v>
      </c>
      <c r="O37" s="204">
        <v>5</v>
      </c>
      <c r="P37" s="204">
        <v>-42</v>
      </c>
      <c r="Q37" s="204">
        <v>0</v>
      </c>
      <c r="T37" s="204">
        <v>1</v>
      </c>
    </row>
    <row r="38" spans="1:18" s="227" customFormat="1" ht="15.75">
      <c r="A38" s="227" t="s">
        <v>143</v>
      </c>
      <c r="B38" s="227" t="s">
        <v>259</v>
      </c>
      <c r="D38" s="225">
        <v>410</v>
      </c>
      <c r="E38" s="225"/>
      <c r="F38" s="225">
        <v>402</v>
      </c>
      <c r="G38" s="232">
        <v>426</v>
      </c>
      <c r="H38" s="232">
        <v>449</v>
      </c>
      <c r="I38" s="225"/>
      <c r="J38" s="225">
        <v>412</v>
      </c>
      <c r="K38" s="225"/>
      <c r="L38" s="232">
        <v>412</v>
      </c>
      <c r="M38" s="159">
        <f t="shared" si="4"/>
        <v>2511</v>
      </c>
      <c r="N38" s="227">
        <v>5</v>
      </c>
      <c r="O38" s="227">
        <v>3</v>
      </c>
      <c r="P38" s="227">
        <v>78</v>
      </c>
      <c r="Q38" s="227">
        <v>2</v>
      </c>
      <c r="R38" s="227">
        <v>1</v>
      </c>
    </row>
    <row r="39" spans="1:20" s="204" customFormat="1" ht="15.75">
      <c r="A39" s="204" t="s">
        <v>144</v>
      </c>
      <c r="B39" s="204" t="s">
        <v>20</v>
      </c>
      <c r="D39" s="220">
        <v>369</v>
      </c>
      <c r="E39" s="220"/>
      <c r="F39" s="220"/>
      <c r="G39" s="220">
        <v>431</v>
      </c>
      <c r="H39" s="220">
        <v>436</v>
      </c>
      <c r="I39" s="220"/>
      <c r="J39" s="224">
        <v>442</v>
      </c>
      <c r="K39" s="220">
        <v>402</v>
      </c>
      <c r="L39" s="220">
        <v>396</v>
      </c>
      <c r="M39" s="162">
        <f>SUM(C39:L39)</f>
        <v>2476</v>
      </c>
      <c r="N39" s="204">
        <v>1</v>
      </c>
      <c r="O39" s="204">
        <v>7</v>
      </c>
      <c r="P39" s="204">
        <v>-182</v>
      </c>
      <c r="Q39" s="204">
        <v>0</v>
      </c>
      <c r="T39" s="204">
        <v>1</v>
      </c>
    </row>
    <row r="40" spans="1:18" s="227" customFormat="1" ht="15.75">
      <c r="A40" s="227" t="s">
        <v>145</v>
      </c>
      <c r="B40" s="225" t="s">
        <v>179</v>
      </c>
      <c r="C40" s="232">
        <v>481</v>
      </c>
      <c r="D40" s="225">
        <v>434</v>
      </c>
      <c r="E40" s="225"/>
      <c r="F40" s="225"/>
      <c r="G40" s="225">
        <v>429</v>
      </c>
      <c r="H40" s="232">
        <v>450</v>
      </c>
      <c r="I40" s="225"/>
      <c r="J40" s="225">
        <v>423</v>
      </c>
      <c r="K40" s="232">
        <v>445</v>
      </c>
      <c r="L40" s="225"/>
      <c r="M40" s="159">
        <f t="shared" si="4"/>
        <v>2662</v>
      </c>
      <c r="N40" s="227">
        <v>5</v>
      </c>
      <c r="O40" s="227">
        <v>3</v>
      </c>
      <c r="P40" s="227">
        <v>3</v>
      </c>
      <c r="Q40" s="227">
        <v>2</v>
      </c>
      <c r="R40" s="227">
        <v>1</v>
      </c>
    </row>
    <row r="41" spans="1:18" s="204" customFormat="1" ht="15.75">
      <c r="A41" s="204" t="s">
        <v>146</v>
      </c>
      <c r="B41" s="220" t="s">
        <v>177</v>
      </c>
      <c r="D41" s="220">
        <v>400</v>
      </c>
      <c r="E41" s="220"/>
      <c r="F41" s="220"/>
      <c r="G41" s="224">
        <v>425</v>
      </c>
      <c r="H41" s="224">
        <v>446</v>
      </c>
      <c r="I41" s="220"/>
      <c r="J41" s="220">
        <v>407</v>
      </c>
      <c r="K41" s="224">
        <v>444</v>
      </c>
      <c r="L41" s="220">
        <v>394</v>
      </c>
      <c r="M41" s="162">
        <f t="shared" si="4"/>
        <v>2516</v>
      </c>
      <c r="N41" s="204">
        <v>5</v>
      </c>
      <c r="O41" s="204">
        <v>3</v>
      </c>
      <c r="P41" s="204">
        <v>9</v>
      </c>
      <c r="Q41" s="204">
        <v>2</v>
      </c>
      <c r="R41" s="204">
        <v>1</v>
      </c>
    </row>
    <row r="42" spans="1:20" s="227" customFormat="1" ht="15.75">
      <c r="A42" s="227" t="s">
        <v>147</v>
      </c>
      <c r="B42" s="227" t="s">
        <v>15</v>
      </c>
      <c r="D42" s="232">
        <v>448</v>
      </c>
      <c r="E42" s="225"/>
      <c r="F42" s="225">
        <v>356</v>
      </c>
      <c r="G42" s="225">
        <v>422</v>
      </c>
      <c r="H42" s="232">
        <v>441</v>
      </c>
      <c r="I42" s="225"/>
      <c r="J42" s="225"/>
      <c r="K42" s="232">
        <v>437</v>
      </c>
      <c r="L42" s="225">
        <v>389</v>
      </c>
      <c r="M42" s="159">
        <f t="shared" si="4"/>
        <v>2493</v>
      </c>
      <c r="N42" s="227">
        <v>3</v>
      </c>
      <c r="O42" s="227">
        <v>5</v>
      </c>
      <c r="P42" s="227">
        <v>-24</v>
      </c>
      <c r="Q42" s="227">
        <v>0</v>
      </c>
      <c r="T42" s="227">
        <v>1</v>
      </c>
    </row>
    <row r="43" spans="1:18" s="204" customFormat="1" ht="16.5" thickBot="1">
      <c r="A43" s="204" t="s">
        <v>148</v>
      </c>
      <c r="B43" s="116" t="s">
        <v>218</v>
      </c>
      <c r="C43" s="152"/>
      <c r="D43" s="235">
        <v>438</v>
      </c>
      <c r="E43" s="125"/>
      <c r="F43" s="125">
        <v>384</v>
      </c>
      <c r="G43" s="235">
        <v>436</v>
      </c>
      <c r="H43" s="125">
        <v>410</v>
      </c>
      <c r="I43" s="125"/>
      <c r="J43" s="125"/>
      <c r="K43" s="235">
        <v>427</v>
      </c>
      <c r="L43" s="126">
        <v>375</v>
      </c>
      <c r="M43" s="162">
        <f t="shared" si="4"/>
        <v>2470</v>
      </c>
      <c r="N43" s="204">
        <v>5</v>
      </c>
      <c r="O43" s="204">
        <v>3</v>
      </c>
      <c r="P43" s="204">
        <v>35</v>
      </c>
      <c r="Q43" s="204">
        <v>2</v>
      </c>
      <c r="R43" s="204">
        <v>1</v>
      </c>
    </row>
    <row r="44" spans="3:20" ht="16.5" thickTop="1">
      <c r="C44" s="7">
        <f>SUM(C29:C38)+SUM(C40:C43)</f>
        <v>3283</v>
      </c>
      <c r="D44" s="7">
        <f>SUM(D29:D38)+SUM(D40:D43)</f>
        <v>3343</v>
      </c>
      <c r="E44" s="7">
        <f>SUM(E29:E38)+SUM(E40:E43)</f>
        <v>1694</v>
      </c>
      <c r="F44" s="7">
        <f aca="true" t="shared" si="5" ref="F44:L44">SUM(F29:F38)+SUM(F40:F43)</f>
        <v>3134</v>
      </c>
      <c r="G44" s="7">
        <f t="shared" si="5"/>
        <v>5488</v>
      </c>
      <c r="H44" s="7">
        <f t="shared" si="5"/>
        <v>5722</v>
      </c>
      <c r="I44" s="7">
        <f t="shared" si="5"/>
        <v>0</v>
      </c>
      <c r="J44" s="7">
        <f t="shared" si="5"/>
        <v>4506</v>
      </c>
      <c r="K44" s="7">
        <f t="shared" si="5"/>
        <v>3464</v>
      </c>
      <c r="L44" s="7">
        <f t="shared" si="5"/>
        <v>4747</v>
      </c>
      <c r="N44" s="1">
        <f>SUM(N29:N43)</f>
        <v>56</v>
      </c>
      <c r="O44" s="1">
        <f>SUM(O29:O43)</f>
        <v>64</v>
      </c>
      <c r="P44" s="1">
        <f>SUM(P29:P43)</f>
        <v>-72</v>
      </c>
      <c r="Q44" s="1">
        <f>SUM(Q29:Q43)</f>
        <v>13</v>
      </c>
      <c r="R44" s="1">
        <f>SUM(R29:R43)+R21</f>
        <v>13</v>
      </c>
      <c r="S44" s="1">
        <f>SUM(S29:S43)+S21</f>
        <v>1</v>
      </c>
      <c r="T44" s="1">
        <f>SUM(T29:T43)+T21</f>
        <v>16</v>
      </c>
    </row>
    <row r="45" spans="2:12" ht="15.75">
      <c r="B45" s="36" t="s">
        <v>211</v>
      </c>
      <c r="C45" s="1">
        <f>COUNT(C29:C38)+COUNT(C40:C43)</f>
        <v>7</v>
      </c>
      <c r="D45" s="1">
        <f>COUNT(D29:D38)+COUNT(D40:D43)</f>
        <v>8</v>
      </c>
      <c r="E45" s="1">
        <f>COUNT(E29:E38)+COUNT(E40:E43)</f>
        <v>4</v>
      </c>
      <c r="F45" s="1">
        <f aca="true" t="shared" si="6" ref="F45:L45">COUNT(F29:F38)+COUNT(F40:F43)</f>
        <v>8</v>
      </c>
      <c r="G45" s="1">
        <f t="shared" si="6"/>
        <v>13</v>
      </c>
      <c r="H45" s="1">
        <f t="shared" si="6"/>
        <v>13</v>
      </c>
      <c r="I45" s="1">
        <f t="shared" si="6"/>
        <v>0</v>
      </c>
      <c r="J45" s="1">
        <f t="shared" si="6"/>
        <v>11</v>
      </c>
      <c r="K45" s="1">
        <f t="shared" si="6"/>
        <v>8</v>
      </c>
      <c r="L45" s="1">
        <f t="shared" si="6"/>
        <v>12</v>
      </c>
    </row>
    <row r="46" spans="2:21" ht="31.5">
      <c r="B46" s="10" t="s">
        <v>212</v>
      </c>
      <c r="C46" s="16">
        <f>C44/C45</f>
        <v>469</v>
      </c>
      <c r="D46" s="16">
        <f>D44/D45</f>
        <v>417.875</v>
      </c>
      <c r="E46" s="16">
        <f>E44/E45</f>
        <v>423.5</v>
      </c>
      <c r="F46" s="16">
        <f aca="true" t="shared" si="7" ref="F46:L46">F44/F45</f>
        <v>391.75</v>
      </c>
      <c r="G46" s="16">
        <f t="shared" si="7"/>
        <v>422.15384615384613</v>
      </c>
      <c r="H46" s="16">
        <f t="shared" si="7"/>
        <v>440.15384615384613</v>
      </c>
      <c r="I46" s="16" t="e">
        <f t="shared" si="7"/>
        <v>#DIV/0!</v>
      </c>
      <c r="J46" s="16">
        <f t="shared" si="7"/>
        <v>409.6363636363636</v>
      </c>
      <c r="K46" s="16">
        <f t="shared" si="7"/>
        <v>433</v>
      </c>
      <c r="L46" s="16">
        <f t="shared" si="7"/>
        <v>395.5833333333333</v>
      </c>
      <c r="N46" s="3" t="s">
        <v>27</v>
      </c>
      <c r="O46" s="308" t="s">
        <v>102</v>
      </c>
      <c r="P46" s="308"/>
      <c r="Q46" s="3" t="s">
        <v>28</v>
      </c>
      <c r="R46" s="10" t="s">
        <v>103</v>
      </c>
      <c r="T46" s="40" t="s">
        <v>111</v>
      </c>
      <c r="U46" s="40" t="s">
        <v>192</v>
      </c>
    </row>
    <row r="47" spans="14:21" ht="15.75">
      <c r="N47" s="6">
        <f>SUM(M29:M43)+N24</f>
        <v>75692</v>
      </c>
      <c r="O47" s="6">
        <f>SUM(N29:N43)+O24</f>
        <v>109</v>
      </c>
      <c r="P47" s="6">
        <f>SUM(O29:O43)+P24</f>
        <v>131</v>
      </c>
      <c r="Q47" s="6">
        <f>SUM(P29:P43)+Q24</f>
        <v>-368</v>
      </c>
      <c r="R47" s="6">
        <f>SUM(Q29:Q43)+R24</f>
        <v>27</v>
      </c>
      <c r="T47" s="2">
        <f>O47-P47</f>
        <v>-22</v>
      </c>
      <c r="U47" s="2">
        <f>SUM(R44:T44)</f>
        <v>30</v>
      </c>
    </row>
    <row r="49" spans="14:15" ht="15.75">
      <c r="N49" s="1" t="s">
        <v>113</v>
      </c>
      <c r="O49" s="18">
        <f>N47/U47</f>
        <v>2523.0666666666666</v>
      </c>
    </row>
  </sheetData>
  <sheetProtection/>
  <mergeCells count="11">
    <mergeCell ref="O23:P23"/>
    <mergeCell ref="F25:G25"/>
    <mergeCell ref="E1:F1"/>
    <mergeCell ref="H1:I1"/>
    <mergeCell ref="K1:L1"/>
    <mergeCell ref="K2:L2"/>
    <mergeCell ref="O46:P46"/>
    <mergeCell ref="I25:J25"/>
    <mergeCell ref="C4:M4"/>
    <mergeCell ref="O4:P4"/>
    <mergeCell ref="C25:D25"/>
  </mergeCells>
  <printOptions/>
  <pageMargins left="0.75" right="0.75" top="1" bottom="1" header="0.5" footer="0.5"/>
  <pageSetup horizontalDpi="600" verticalDpi="600" orientation="portrait" paperSize="9" r:id="rId1"/>
  <ignoredErrors>
    <ignoredError sqref="F2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S50"/>
  <sheetViews>
    <sheetView zoomScale="90" zoomScaleNormal="90" zoomScalePageLayoutView="0" workbookViewId="0" topLeftCell="A24">
      <selection activeCell="C44" sqref="C44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9.25390625" style="1" customWidth="1"/>
    <col min="4" max="5" width="14.00390625" style="1" customWidth="1"/>
    <col min="6" max="6" width="13.625" style="1" customWidth="1"/>
    <col min="7" max="9" width="9.125" style="1" customWidth="1"/>
    <col min="10" max="10" width="12.00390625" style="1" customWidth="1"/>
    <col min="11" max="11" width="11.875" style="1" customWidth="1"/>
    <col min="12" max="12" width="16.75390625" style="1" customWidth="1"/>
    <col min="13" max="13" width="11.25390625" style="1" customWidth="1"/>
    <col min="14" max="14" width="10.375" style="1" customWidth="1"/>
    <col min="15" max="15" width="13.375" style="1" customWidth="1"/>
    <col min="16" max="16" width="14.625" style="1" customWidth="1"/>
    <col min="18" max="18" width="12.25390625" style="0" customWidth="1"/>
    <col min="19" max="19" width="12.125" style="0" customWidth="1"/>
  </cols>
  <sheetData>
    <row r="1" spans="1:16" ht="15.75">
      <c r="A1" s="27" t="s">
        <v>125</v>
      </c>
      <c r="B1" s="28"/>
      <c r="C1" s="27" t="s">
        <v>130</v>
      </c>
      <c r="D1" s="30"/>
      <c r="E1" s="28" t="s">
        <v>129</v>
      </c>
      <c r="F1" s="306" t="s">
        <v>250</v>
      </c>
      <c r="G1" s="306"/>
      <c r="I1" s="308" t="s">
        <v>134</v>
      </c>
      <c r="J1" s="308"/>
      <c r="K1" s="3" t="s">
        <v>135</v>
      </c>
      <c r="L1" s="305" t="s">
        <v>111</v>
      </c>
      <c r="M1" s="305"/>
      <c r="O1" s="61" t="s">
        <v>113</v>
      </c>
      <c r="P1" s="18">
        <f>L24/S24</f>
        <v>2521.2</v>
      </c>
    </row>
    <row r="2" spans="9:16" ht="15.75">
      <c r="I2" s="1">
        <f>M24+M45</f>
        <v>117</v>
      </c>
      <c r="J2" s="1">
        <f>N24+N45</f>
        <v>123</v>
      </c>
      <c r="K2" s="1">
        <f>P24+P45</f>
        <v>25</v>
      </c>
      <c r="L2" s="307">
        <f>I2-J2</f>
        <v>-6</v>
      </c>
      <c r="M2" s="307"/>
      <c r="O2" s="61" t="s">
        <v>198</v>
      </c>
      <c r="P2" s="6">
        <f>L7+L8+L10+L12+L14+L16+L18+L20+L30+L32+L34+L37+L39+L41+L43</f>
        <v>37820</v>
      </c>
    </row>
    <row r="4" spans="3:19" ht="18" customHeight="1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M4" s="308" t="s">
        <v>25</v>
      </c>
      <c r="N4" s="308"/>
      <c r="Q4" s="2"/>
      <c r="R4" s="2"/>
      <c r="S4" s="2"/>
    </row>
    <row r="5" spans="2:19" ht="33" customHeight="1" thickBot="1">
      <c r="B5" s="3" t="s">
        <v>22</v>
      </c>
      <c r="C5" s="8" t="s">
        <v>85</v>
      </c>
      <c r="D5" s="8" t="s">
        <v>95</v>
      </c>
      <c r="E5" s="8" t="s">
        <v>238</v>
      </c>
      <c r="F5" s="8" t="s">
        <v>67</v>
      </c>
      <c r="G5" s="82" t="s">
        <v>270</v>
      </c>
      <c r="H5" s="8" t="s">
        <v>271</v>
      </c>
      <c r="I5" s="8" t="s">
        <v>69</v>
      </c>
      <c r="J5" s="8" t="s">
        <v>86</v>
      </c>
      <c r="K5" s="8" t="s">
        <v>172</v>
      </c>
      <c r="L5" s="3" t="s">
        <v>27</v>
      </c>
      <c r="M5" s="37" t="s">
        <v>177</v>
      </c>
      <c r="N5" s="3" t="s">
        <v>26</v>
      </c>
      <c r="O5" s="3" t="s">
        <v>28</v>
      </c>
      <c r="P5" s="10" t="s">
        <v>101</v>
      </c>
      <c r="Q5" s="2" t="s">
        <v>162</v>
      </c>
      <c r="R5" s="2" t="s">
        <v>163</v>
      </c>
      <c r="S5" s="2" t="s">
        <v>164</v>
      </c>
    </row>
    <row r="6" spans="1:19" s="97" customFormat="1" ht="15.75">
      <c r="A6" s="95" t="s">
        <v>0</v>
      </c>
      <c r="B6" s="100" t="s">
        <v>15</v>
      </c>
      <c r="C6" s="96">
        <v>371</v>
      </c>
      <c r="D6" s="96">
        <v>415</v>
      </c>
      <c r="E6" s="179">
        <v>456</v>
      </c>
      <c r="F6" s="96">
        <v>399</v>
      </c>
      <c r="G6" s="96">
        <v>412</v>
      </c>
      <c r="H6" s="179">
        <v>468</v>
      </c>
      <c r="I6" s="96"/>
      <c r="J6" s="96"/>
      <c r="K6" s="102"/>
      <c r="L6" s="103">
        <f>SUM(C6:K6)</f>
        <v>2521</v>
      </c>
      <c r="M6" s="95">
        <v>4</v>
      </c>
      <c r="N6" s="95">
        <v>4</v>
      </c>
      <c r="O6" s="103">
        <v>14</v>
      </c>
      <c r="P6" s="95">
        <v>1</v>
      </c>
      <c r="Q6" s="104"/>
      <c r="R6" s="104">
        <v>1</v>
      </c>
      <c r="S6" s="104"/>
    </row>
    <row r="7" spans="1:19" s="115" customFormat="1" ht="15.75">
      <c r="A7" s="113" t="s">
        <v>1</v>
      </c>
      <c r="B7" s="114" t="s">
        <v>18</v>
      </c>
      <c r="C7" s="114">
        <v>171</v>
      </c>
      <c r="D7" s="114">
        <v>380</v>
      </c>
      <c r="E7" s="177">
        <v>412</v>
      </c>
      <c r="F7" s="114">
        <v>386</v>
      </c>
      <c r="G7" s="177">
        <v>424</v>
      </c>
      <c r="H7" s="114">
        <v>408</v>
      </c>
      <c r="I7" s="114"/>
      <c r="J7" s="114"/>
      <c r="K7" s="117">
        <v>204</v>
      </c>
      <c r="L7" s="118">
        <f>SUM(C7:K7)</f>
        <v>2385</v>
      </c>
      <c r="M7" s="113">
        <v>2</v>
      </c>
      <c r="N7" s="113">
        <v>6</v>
      </c>
      <c r="O7" s="118">
        <v>-98</v>
      </c>
      <c r="P7" s="113">
        <v>0</v>
      </c>
      <c r="Q7" s="119"/>
      <c r="R7" s="119"/>
      <c r="S7" s="119">
        <v>1</v>
      </c>
    </row>
    <row r="8" spans="1:19" s="120" customFormat="1" ht="15.75">
      <c r="A8" s="120" t="s">
        <v>2</v>
      </c>
      <c r="B8" s="114" t="s">
        <v>179</v>
      </c>
      <c r="C8" s="114"/>
      <c r="D8" s="114"/>
      <c r="E8" s="177">
        <v>446</v>
      </c>
      <c r="F8" s="177">
        <v>458</v>
      </c>
      <c r="G8" s="177">
        <v>453</v>
      </c>
      <c r="H8" s="114">
        <v>433</v>
      </c>
      <c r="I8" s="114">
        <v>389</v>
      </c>
      <c r="J8" s="114"/>
      <c r="K8" s="117">
        <v>369</v>
      </c>
      <c r="L8" s="132">
        <f>SUM(C8:K8)</f>
        <v>2548</v>
      </c>
      <c r="M8" s="120">
        <v>3</v>
      </c>
      <c r="N8" s="120">
        <v>5</v>
      </c>
      <c r="O8" s="120">
        <v>-111</v>
      </c>
      <c r="P8" s="120">
        <v>0</v>
      </c>
      <c r="S8" s="120">
        <v>1</v>
      </c>
    </row>
    <row r="9" spans="1:19" s="100" customFormat="1" ht="15.75">
      <c r="A9" s="100" t="s">
        <v>3</v>
      </c>
      <c r="B9" s="96" t="s">
        <v>20</v>
      </c>
      <c r="C9" s="174">
        <v>415</v>
      </c>
      <c r="D9" s="174">
        <v>403</v>
      </c>
      <c r="E9" s="101">
        <v>393</v>
      </c>
      <c r="F9" s="101">
        <v>396</v>
      </c>
      <c r="G9" s="101"/>
      <c r="H9" s="174">
        <v>415</v>
      </c>
      <c r="I9" s="101"/>
      <c r="J9" s="101"/>
      <c r="K9" s="102">
        <v>375</v>
      </c>
      <c r="L9" s="103">
        <f>SUM(C9:K9)</f>
        <v>2397</v>
      </c>
      <c r="M9" s="144">
        <v>3</v>
      </c>
      <c r="N9" s="144">
        <v>5</v>
      </c>
      <c r="O9" s="143">
        <v>-5</v>
      </c>
      <c r="P9" s="144">
        <v>0</v>
      </c>
      <c r="Q9" s="144"/>
      <c r="R9" s="144"/>
      <c r="S9" s="144">
        <v>1</v>
      </c>
    </row>
    <row r="10" spans="1:18" s="114" customFormat="1" ht="15.75">
      <c r="A10" s="114" t="s">
        <v>4</v>
      </c>
      <c r="B10" s="114" t="s">
        <v>259</v>
      </c>
      <c r="C10" s="177">
        <v>443</v>
      </c>
      <c r="D10" s="114">
        <v>222</v>
      </c>
      <c r="E10" s="177">
        <v>437</v>
      </c>
      <c r="F10" s="114">
        <v>410</v>
      </c>
      <c r="G10" s="177">
        <v>449</v>
      </c>
      <c r="H10" s="177">
        <v>435</v>
      </c>
      <c r="I10" s="114">
        <v>165</v>
      </c>
      <c r="K10" s="117"/>
      <c r="L10" s="146">
        <f aca="true" t="shared" si="0" ref="L10:L20">SUM(C10:K10)</f>
        <v>2561</v>
      </c>
      <c r="M10" s="114">
        <v>4</v>
      </c>
      <c r="N10" s="114">
        <v>4</v>
      </c>
      <c r="O10" s="146">
        <v>-4</v>
      </c>
      <c r="P10" s="114">
        <v>1</v>
      </c>
      <c r="R10" s="114">
        <v>1</v>
      </c>
    </row>
    <row r="11" spans="1:18" s="100" customFormat="1" ht="15.75">
      <c r="A11" s="100" t="s">
        <v>5</v>
      </c>
      <c r="B11" s="96" t="s">
        <v>178</v>
      </c>
      <c r="C11" s="96">
        <v>402</v>
      </c>
      <c r="D11" s="179">
        <v>431</v>
      </c>
      <c r="E11" s="96">
        <v>409</v>
      </c>
      <c r="F11" s="96">
        <v>404</v>
      </c>
      <c r="G11" s="179">
        <v>494</v>
      </c>
      <c r="H11" s="96">
        <v>415</v>
      </c>
      <c r="I11" s="96"/>
      <c r="J11" s="96"/>
      <c r="K11" s="102"/>
      <c r="L11" s="99">
        <f t="shared" si="0"/>
        <v>2555</v>
      </c>
      <c r="M11" s="100">
        <v>4</v>
      </c>
      <c r="N11" s="100">
        <v>4</v>
      </c>
      <c r="O11" s="99">
        <v>10</v>
      </c>
      <c r="P11" s="100">
        <v>1</v>
      </c>
      <c r="R11" s="100">
        <v>1</v>
      </c>
    </row>
    <row r="12" spans="1:17" s="120" customFormat="1" ht="15.75">
      <c r="A12" s="120" t="s">
        <v>6</v>
      </c>
      <c r="B12" s="120" t="s">
        <v>17</v>
      </c>
      <c r="C12" s="177">
        <v>455</v>
      </c>
      <c r="D12" s="177">
        <v>480</v>
      </c>
      <c r="E12" s="177">
        <v>453</v>
      </c>
      <c r="F12" s="114">
        <v>436</v>
      </c>
      <c r="G12" s="114">
        <v>405</v>
      </c>
      <c r="H12" s="177">
        <v>454</v>
      </c>
      <c r="I12" s="114"/>
      <c r="J12" s="114"/>
      <c r="K12" s="117"/>
      <c r="L12" s="132">
        <f t="shared" si="0"/>
        <v>2683</v>
      </c>
      <c r="M12" s="120">
        <v>6</v>
      </c>
      <c r="N12" s="120">
        <v>2</v>
      </c>
      <c r="O12" s="132">
        <v>84</v>
      </c>
      <c r="P12" s="120">
        <v>2</v>
      </c>
      <c r="Q12" s="120">
        <v>1</v>
      </c>
    </row>
    <row r="13" spans="1:17" s="100" customFormat="1" ht="15.75">
      <c r="A13" s="100" t="s">
        <v>7</v>
      </c>
      <c r="B13" s="96" t="s">
        <v>180</v>
      </c>
      <c r="C13" s="96">
        <v>396</v>
      </c>
      <c r="D13" s="179">
        <v>420</v>
      </c>
      <c r="E13" s="96"/>
      <c r="F13" s="179">
        <v>426</v>
      </c>
      <c r="G13" s="179">
        <v>423</v>
      </c>
      <c r="H13" s="179">
        <v>438</v>
      </c>
      <c r="I13" s="96">
        <v>363</v>
      </c>
      <c r="J13" s="96"/>
      <c r="K13" s="102"/>
      <c r="L13" s="99">
        <f t="shared" si="0"/>
        <v>2466</v>
      </c>
      <c r="M13" s="100">
        <v>6</v>
      </c>
      <c r="N13" s="100">
        <v>2</v>
      </c>
      <c r="O13" s="99">
        <v>46</v>
      </c>
      <c r="P13" s="100">
        <v>2</v>
      </c>
      <c r="Q13" s="100">
        <v>1</v>
      </c>
    </row>
    <row r="14" spans="1:19" s="120" customFormat="1" ht="15.75">
      <c r="A14" s="120" t="s">
        <v>8</v>
      </c>
      <c r="B14" s="120" t="s">
        <v>23</v>
      </c>
      <c r="C14" s="114">
        <v>428</v>
      </c>
      <c r="D14" s="114">
        <v>410</v>
      </c>
      <c r="E14" s="114">
        <v>417</v>
      </c>
      <c r="F14" s="114"/>
      <c r="G14" s="177">
        <v>429</v>
      </c>
      <c r="H14" s="177">
        <v>431</v>
      </c>
      <c r="I14" s="114">
        <v>182</v>
      </c>
      <c r="J14" s="114"/>
      <c r="K14" s="117">
        <v>168</v>
      </c>
      <c r="L14" s="132">
        <f t="shared" si="0"/>
        <v>2465</v>
      </c>
      <c r="M14" s="120">
        <v>2</v>
      </c>
      <c r="N14" s="120">
        <v>6</v>
      </c>
      <c r="O14" s="132">
        <v>-193</v>
      </c>
      <c r="P14" s="120">
        <v>0</v>
      </c>
      <c r="S14" s="120">
        <v>1</v>
      </c>
    </row>
    <row r="15" spans="1:19" s="100" customFormat="1" ht="15.75">
      <c r="A15" s="100" t="s">
        <v>9</v>
      </c>
      <c r="B15" s="96" t="s">
        <v>219</v>
      </c>
      <c r="C15" s="179">
        <v>475</v>
      </c>
      <c r="D15" s="96">
        <v>363</v>
      </c>
      <c r="E15" s="96">
        <v>440</v>
      </c>
      <c r="F15" s="96">
        <v>433</v>
      </c>
      <c r="G15" s="179">
        <v>474</v>
      </c>
      <c r="H15" s="179">
        <v>446</v>
      </c>
      <c r="I15" s="96"/>
      <c r="J15" s="96"/>
      <c r="K15" s="102"/>
      <c r="L15" s="99">
        <f t="shared" si="0"/>
        <v>2631</v>
      </c>
      <c r="M15" s="100">
        <v>3</v>
      </c>
      <c r="N15" s="100">
        <v>5</v>
      </c>
      <c r="O15" s="99">
        <v>-78</v>
      </c>
      <c r="P15" s="100">
        <v>0</v>
      </c>
      <c r="S15" s="100">
        <v>1</v>
      </c>
    </row>
    <row r="16" spans="1:19" s="120" customFormat="1" ht="15.75">
      <c r="A16" s="120" t="s">
        <v>10</v>
      </c>
      <c r="B16" s="120" t="s">
        <v>220</v>
      </c>
      <c r="C16" s="224">
        <v>446</v>
      </c>
      <c r="D16" s="114"/>
      <c r="E16" s="114">
        <v>394</v>
      </c>
      <c r="F16" s="114">
        <v>383</v>
      </c>
      <c r="G16" s="224">
        <v>439</v>
      </c>
      <c r="H16" s="224">
        <v>463</v>
      </c>
      <c r="I16" s="114">
        <v>349</v>
      </c>
      <c r="J16" s="114"/>
      <c r="K16" s="117"/>
      <c r="L16" s="132">
        <f t="shared" si="0"/>
        <v>2474</v>
      </c>
      <c r="M16" s="120">
        <v>3</v>
      </c>
      <c r="N16" s="120">
        <v>5</v>
      </c>
      <c r="O16" s="132">
        <v>-86</v>
      </c>
      <c r="P16" s="120">
        <v>0</v>
      </c>
      <c r="S16" s="120">
        <v>1</v>
      </c>
    </row>
    <row r="17" spans="1:17" s="100" customFormat="1" ht="15.75">
      <c r="A17" s="100" t="s">
        <v>11</v>
      </c>
      <c r="B17" s="96" t="s">
        <v>19</v>
      </c>
      <c r="C17" s="96">
        <v>417</v>
      </c>
      <c r="D17" s="96"/>
      <c r="E17" s="232">
        <v>435</v>
      </c>
      <c r="F17" s="96">
        <v>380</v>
      </c>
      <c r="G17" s="232">
        <v>461</v>
      </c>
      <c r="H17" s="232">
        <v>444</v>
      </c>
      <c r="I17" s="96">
        <v>377</v>
      </c>
      <c r="J17" s="96"/>
      <c r="K17" s="102"/>
      <c r="L17" s="99">
        <f t="shared" si="0"/>
        <v>2514</v>
      </c>
      <c r="M17" s="100">
        <v>5</v>
      </c>
      <c r="N17" s="100">
        <v>3</v>
      </c>
      <c r="O17" s="99">
        <v>112</v>
      </c>
      <c r="P17" s="100">
        <v>2</v>
      </c>
      <c r="Q17" s="100">
        <v>1</v>
      </c>
    </row>
    <row r="18" spans="1:17" s="120" customFormat="1" ht="15" customHeight="1">
      <c r="A18" s="120" t="s">
        <v>12</v>
      </c>
      <c r="B18" s="114" t="s">
        <v>257</v>
      </c>
      <c r="C18" s="114">
        <v>414</v>
      </c>
      <c r="D18" s="224">
        <v>432</v>
      </c>
      <c r="E18" s="114"/>
      <c r="F18" s="114">
        <v>398</v>
      </c>
      <c r="G18" s="224">
        <v>467</v>
      </c>
      <c r="H18" s="224">
        <v>428</v>
      </c>
      <c r="I18" s="114"/>
      <c r="J18" s="114"/>
      <c r="K18" s="117">
        <v>384</v>
      </c>
      <c r="L18" s="132">
        <f t="shared" si="0"/>
        <v>2523</v>
      </c>
      <c r="M18" s="120">
        <v>5</v>
      </c>
      <c r="N18" s="120">
        <v>3</v>
      </c>
      <c r="O18" s="120">
        <v>6</v>
      </c>
      <c r="P18" s="120">
        <v>2</v>
      </c>
      <c r="Q18" s="120">
        <v>1</v>
      </c>
    </row>
    <row r="19" spans="1:17" s="100" customFormat="1" ht="15.75">
      <c r="A19" s="100" t="s">
        <v>13</v>
      </c>
      <c r="B19" s="96" t="s">
        <v>258</v>
      </c>
      <c r="C19" s="96">
        <v>390</v>
      </c>
      <c r="D19" s="96">
        <v>409</v>
      </c>
      <c r="E19" s="232">
        <v>436</v>
      </c>
      <c r="F19" s="232">
        <v>427</v>
      </c>
      <c r="G19" s="232">
        <v>442</v>
      </c>
      <c r="H19" s="232">
        <v>431</v>
      </c>
      <c r="I19" s="96"/>
      <c r="J19" s="96"/>
      <c r="K19" s="102"/>
      <c r="L19" s="99">
        <f t="shared" si="0"/>
        <v>2535</v>
      </c>
      <c r="M19" s="100">
        <v>6</v>
      </c>
      <c r="N19" s="100">
        <v>2</v>
      </c>
      <c r="O19" s="99">
        <v>55</v>
      </c>
      <c r="P19" s="100">
        <v>2</v>
      </c>
      <c r="Q19" s="100">
        <v>1</v>
      </c>
    </row>
    <row r="20" spans="1:19" s="120" customFormat="1" ht="16.5" thickBot="1">
      <c r="A20" s="120" t="s">
        <v>14</v>
      </c>
      <c r="B20" s="116" t="s">
        <v>218</v>
      </c>
      <c r="C20" s="235">
        <v>421</v>
      </c>
      <c r="D20" s="125">
        <v>401</v>
      </c>
      <c r="E20" s="235">
        <v>431</v>
      </c>
      <c r="F20" s="125">
        <v>420</v>
      </c>
      <c r="G20" s="235">
        <v>469</v>
      </c>
      <c r="H20" s="125">
        <v>418</v>
      </c>
      <c r="I20" s="125"/>
      <c r="J20" s="125"/>
      <c r="K20" s="126"/>
      <c r="L20" s="151">
        <f t="shared" si="0"/>
        <v>2560</v>
      </c>
      <c r="M20" s="152">
        <v>5</v>
      </c>
      <c r="N20" s="152">
        <v>3</v>
      </c>
      <c r="O20" s="151">
        <v>21</v>
      </c>
      <c r="P20" s="152">
        <v>2</v>
      </c>
      <c r="Q20" s="152">
        <v>1</v>
      </c>
      <c r="R20" s="152"/>
      <c r="S20" s="152"/>
    </row>
    <row r="21" spans="3:19" ht="16.5" thickTop="1">
      <c r="C21" s="6">
        <f>SUM(C8:C20)+C6</f>
        <v>5473</v>
      </c>
      <c r="D21" s="6">
        <f>SUM(D6:D9)+SUM(D11:D20)</f>
        <v>4544</v>
      </c>
      <c r="E21" s="6">
        <f aca="true" t="shared" si="1" ref="E21:J21">SUM(E6:E20)</f>
        <v>5559</v>
      </c>
      <c r="F21" s="6">
        <f t="shared" si="1"/>
        <v>5756</v>
      </c>
      <c r="G21" s="6">
        <f t="shared" si="1"/>
        <v>6241</v>
      </c>
      <c r="H21" s="6">
        <f t="shared" si="1"/>
        <v>6527</v>
      </c>
      <c r="I21" s="6">
        <f>SUM(I6:I9)+SUM(I11:I13)+SUM(I15:I20)</f>
        <v>1478</v>
      </c>
      <c r="J21" s="6">
        <f t="shared" si="1"/>
        <v>0</v>
      </c>
      <c r="K21" s="6">
        <f>SUM(K8:K9)+SUM(K11:K13)+SUM(K15:K20)</f>
        <v>1128</v>
      </c>
      <c r="Q21" s="2">
        <f>SUM(Q6:Q20)</f>
        <v>6</v>
      </c>
      <c r="R21" s="2">
        <f>SUM(R6:R20)</f>
        <v>3</v>
      </c>
      <c r="S21" s="2">
        <f>SUM(S6:S20)</f>
        <v>6</v>
      </c>
    </row>
    <row r="22" spans="2:11" ht="15.75">
      <c r="B22" s="1" t="s">
        <v>194</v>
      </c>
      <c r="C22" s="6">
        <f>COUNT(C8:C20)+COUNT(C6)</f>
        <v>13</v>
      </c>
      <c r="D22" s="6">
        <f>COUNT(D6:D9)+COUNT(D11:D20)</f>
        <v>11</v>
      </c>
      <c r="E22" s="6">
        <f aca="true" t="shared" si="2" ref="E22:J22">COUNT(E6:E20)</f>
        <v>13</v>
      </c>
      <c r="F22" s="6">
        <f t="shared" si="2"/>
        <v>14</v>
      </c>
      <c r="G22" s="6">
        <f t="shared" si="2"/>
        <v>14</v>
      </c>
      <c r="H22" s="6">
        <f t="shared" si="2"/>
        <v>15</v>
      </c>
      <c r="I22" s="6">
        <f>COUNT(I6:I9)+COUNT(I11:I13)+COUNT(I15:I20)</f>
        <v>4</v>
      </c>
      <c r="J22" s="6">
        <f t="shared" si="2"/>
        <v>0</v>
      </c>
      <c r="K22" s="6">
        <f>COUNT(K8:K9)+COUNT(K11:K13)+COUNT(K15:K20)</f>
        <v>3</v>
      </c>
    </row>
    <row r="23" spans="2:19" ht="31.5">
      <c r="B23" s="11" t="s">
        <v>112</v>
      </c>
      <c r="C23" s="16">
        <f>C21/C22</f>
        <v>421</v>
      </c>
      <c r="D23" s="16">
        <f>D21/D22</f>
        <v>413.09090909090907</v>
      </c>
      <c r="E23" s="16">
        <f>E21/E22</f>
        <v>427.61538461538464</v>
      </c>
      <c r="F23" s="16">
        <f>AVERAGE(F6:F20)</f>
        <v>411.14285714285717</v>
      </c>
      <c r="G23" s="16">
        <f>AVERAGE(G6:G20)</f>
        <v>445.7857142857143</v>
      </c>
      <c r="H23" s="16">
        <f>AVERAGE(H6:H20)</f>
        <v>435.1333333333333</v>
      </c>
      <c r="I23" s="16">
        <f>I21/I22</f>
        <v>369.5</v>
      </c>
      <c r="J23" s="16"/>
      <c r="K23" s="16">
        <f>K21/K22</f>
        <v>376</v>
      </c>
      <c r="L23" s="3" t="s">
        <v>27</v>
      </c>
      <c r="M23" s="308" t="s">
        <v>102</v>
      </c>
      <c r="N23" s="308"/>
      <c r="O23" s="3" t="s">
        <v>28</v>
      </c>
      <c r="P23" s="10" t="s">
        <v>103</v>
      </c>
      <c r="R23" s="40" t="s">
        <v>111</v>
      </c>
      <c r="S23" s="40" t="s">
        <v>192</v>
      </c>
    </row>
    <row r="24" spans="12:19" ht="15.75">
      <c r="L24" s="6">
        <f>SUM(L6:L20)</f>
        <v>37818</v>
      </c>
      <c r="M24" s="1">
        <f>SUM(M6:M20)</f>
        <v>61</v>
      </c>
      <c r="N24" s="1">
        <f>SUM(N6:N20)</f>
        <v>59</v>
      </c>
      <c r="O24" s="1">
        <f>SUM(O6:O20)</f>
        <v>-227</v>
      </c>
      <c r="P24" s="1">
        <f>SUM(P6:P20)</f>
        <v>15</v>
      </c>
      <c r="R24" s="2">
        <f>M24-N24</f>
        <v>2</v>
      </c>
      <c r="S24" s="2">
        <f>SUM(Q21:S21)</f>
        <v>15</v>
      </c>
    </row>
    <row r="25" ht="15.75">
      <c r="H25" s="9"/>
    </row>
    <row r="26" spans="3:10" ht="15.75">
      <c r="C26" s="309" t="s">
        <v>33</v>
      </c>
      <c r="D26" s="309"/>
      <c r="E26" s="9"/>
      <c r="G26" s="19"/>
      <c r="I26" s="314" t="s">
        <v>118</v>
      </c>
      <c r="J26" s="314"/>
    </row>
    <row r="27" spans="1:19" ht="16.5" thickBo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62"/>
      <c r="R27" s="62"/>
      <c r="S27" s="62"/>
    </row>
    <row r="29" spans="2:19" ht="54.75" customHeight="1" thickBot="1">
      <c r="B29" s="3" t="s">
        <v>22</v>
      </c>
      <c r="C29" s="8" t="s">
        <v>85</v>
      </c>
      <c r="D29" s="8" t="s">
        <v>95</v>
      </c>
      <c r="E29" s="8" t="s">
        <v>238</v>
      </c>
      <c r="F29" s="8" t="s">
        <v>67</v>
      </c>
      <c r="G29" s="82" t="s">
        <v>270</v>
      </c>
      <c r="H29" s="8" t="s">
        <v>271</v>
      </c>
      <c r="I29" s="8" t="s">
        <v>69</v>
      </c>
      <c r="J29" s="8" t="s">
        <v>86</v>
      </c>
      <c r="K29" s="8" t="s">
        <v>172</v>
      </c>
      <c r="L29" s="3" t="s">
        <v>27</v>
      </c>
      <c r="M29" s="37" t="s">
        <v>177</v>
      </c>
      <c r="N29" s="3" t="s">
        <v>26</v>
      </c>
      <c r="O29" s="3" t="s">
        <v>28</v>
      </c>
      <c r="P29" s="10" t="s">
        <v>101</v>
      </c>
      <c r="Q29" s="2" t="s">
        <v>162</v>
      </c>
      <c r="R29" s="2" t="s">
        <v>163</v>
      </c>
      <c r="S29" s="2" t="s">
        <v>164</v>
      </c>
    </row>
    <row r="30" spans="1:19" s="204" customFormat="1" ht="15.75">
      <c r="A30" s="204" t="s">
        <v>286</v>
      </c>
      <c r="B30" s="204" t="s">
        <v>180</v>
      </c>
      <c r="C30" s="204">
        <v>379</v>
      </c>
      <c r="D30" s="220">
        <v>388</v>
      </c>
      <c r="E30" s="224">
        <v>404</v>
      </c>
      <c r="F30" s="220">
        <v>385</v>
      </c>
      <c r="G30" s="220">
        <v>375</v>
      </c>
      <c r="H30" s="224">
        <v>412</v>
      </c>
      <c r="I30" s="220"/>
      <c r="J30" s="220"/>
      <c r="K30" s="220"/>
      <c r="L30" s="162">
        <f>SUM(C30:K30)</f>
        <v>2343</v>
      </c>
      <c r="M30" s="204">
        <v>2</v>
      </c>
      <c r="N30" s="204">
        <v>6</v>
      </c>
      <c r="O30" s="204">
        <v>-154</v>
      </c>
      <c r="P30" s="204">
        <v>0</v>
      </c>
      <c r="S30" s="204">
        <v>1</v>
      </c>
    </row>
    <row r="31" spans="1:19" s="227" customFormat="1" ht="15.75">
      <c r="A31" s="227" t="s">
        <v>287</v>
      </c>
      <c r="B31" s="225" t="s">
        <v>17</v>
      </c>
      <c r="C31" s="227">
        <v>415</v>
      </c>
      <c r="D31" s="225">
        <v>403</v>
      </c>
      <c r="E31" s="225"/>
      <c r="F31" s="225"/>
      <c r="G31" s="232">
        <v>456</v>
      </c>
      <c r="H31" s="232">
        <v>440</v>
      </c>
      <c r="I31" s="225">
        <v>361</v>
      </c>
      <c r="J31" s="225"/>
      <c r="K31" s="225">
        <v>376</v>
      </c>
      <c r="L31" s="159">
        <f aca="true" t="shared" si="3" ref="L31:L44">SUM(C31:K31)</f>
        <v>2451</v>
      </c>
      <c r="M31" s="227">
        <v>2</v>
      </c>
      <c r="N31" s="227">
        <v>6</v>
      </c>
      <c r="O31" s="227">
        <v>-155</v>
      </c>
      <c r="P31" s="227">
        <v>0</v>
      </c>
      <c r="S31" s="227">
        <v>1</v>
      </c>
    </row>
    <row r="32" spans="1:17" s="204" customFormat="1" ht="15.75">
      <c r="A32" s="204" t="s">
        <v>136</v>
      </c>
      <c r="B32" s="220" t="s">
        <v>178</v>
      </c>
      <c r="C32" s="204">
        <v>405</v>
      </c>
      <c r="D32" s="224">
        <v>435</v>
      </c>
      <c r="E32" s="224">
        <v>450</v>
      </c>
      <c r="F32" s="220">
        <v>392</v>
      </c>
      <c r="G32" s="224">
        <v>450</v>
      </c>
      <c r="H32" s="224">
        <v>447</v>
      </c>
      <c r="I32" s="220"/>
      <c r="J32" s="220"/>
      <c r="K32" s="220"/>
      <c r="L32" s="162">
        <f t="shared" si="3"/>
        <v>2579</v>
      </c>
      <c r="M32" s="204">
        <v>6</v>
      </c>
      <c r="N32" s="204">
        <v>2</v>
      </c>
      <c r="O32" s="204">
        <v>2</v>
      </c>
      <c r="P32" s="204">
        <v>2</v>
      </c>
      <c r="Q32" s="204">
        <v>1</v>
      </c>
    </row>
    <row r="33" spans="1:17" s="227" customFormat="1" ht="15.75">
      <c r="A33" s="227" t="s">
        <v>137</v>
      </c>
      <c r="B33" s="227" t="s">
        <v>259</v>
      </c>
      <c r="C33" s="232">
        <v>413</v>
      </c>
      <c r="D33" s="232">
        <v>412</v>
      </c>
      <c r="E33" s="232">
        <v>433</v>
      </c>
      <c r="F33" s="232">
        <v>422</v>
      </c>
      <c r="G33" s="225">
        <v>369</v>
      </c>
      <c r="H33" s="232">
        <v>453</v>
      </c>
      <c r="I33" s="225"/>
      <c r="J33" s="225"/>
      <c r="K33" s="225"/>
      <c r="L33" s="159">
        <f t="shared" si="3"/>
        <v>2502</v>
      </c>
      <c r="M33" s="227">
        <v>7</v>
      </c>
      <c r="N33" s="227">
        <v>1</v>
      </c>
      <c r="O33" s="227">
        <v>107</v>
      </c>
      <c r="P33" s="227">
        <v>2</v>
      </c>
      <c r="Q33" s="227">
        <v>1</v>
      </c>
    </row>
    <row r="34" spans="1:17" s="204" customFormat="1" ht="15.75">
      <c r="A34" s="204" t="s">
        <v>138</v>
      </c>
      <c r="B34" s="204" t="s">
        <v>20</v>
      </c>
      <c r="C34" s="204">
        <v>410</v>
      </c>
      <c r="D34" s="224">
        <v>435</v>
      </c>
      <c r="E34" s="220"/>
      <c r="F34" s="220">
        <v>397</v>
      </c>
      <c r="G34" s="224">
        <v>430</v>
      </c>
      <c r="H34" s="224">
        <v>462</v>
      </c>
      <c r="I34" s="220">
        <v>388</v>
      </c>
      <c r="J34" s="220"/>
      <c r="K34" s="220"/>
      <c r="L34" s="162">
        <f t="shared" si="3"/>
        <v>2522</v>
      </c>
      <c r="M34" s="204">
        <v>5</v>
      </c>
      <c r="N34" s="204">
        <v>3</v>
      </c>
      <c r="O34" s="204">
        <v>1</v>
      </c>
      <c r="P34" s="204">
        <v>2</v>
      </c>
      <c r="Q34" s="204">
        <v>1</v>
      </c>
    </row>
    <row r="35" spans="1:17" s="227" customFormat="1" ht="15.75">
      <c r="A35" s="227" t="s">
        <v>139</v>
      </c>
      <c r="B35" s="225" t="s">
        <v>179</v>
      </c>
      <c r="C35" s="232">
        <v>439</v>
      </c>
      <c r="D35" s="225">
        <v>414</v>
      </c>
      <c r="E35" s="232">
        <v>433</v>
      </c>
      <c r="F35" s="232">
        <v>436</v>
      </c>
      <c r="G35" s="232">
        <v>468</v>
      </c>
      <c r="H35" s="232">
        <v>425</v>
      </c>
      <c r="I35" s="225"/>
      <c r="J35" s="225"/>
      <c r="K35" s="225"/>
      <c r="L35" s="159">
        <f t="shared" si="3"/>
        <v>2615</v>
      </c>
      <c r="M35" s="227">
        <v>7</v>
      </c>
      <c r="N35" s="227">
        <v>1</v>
      </c>
      <c r="O35" s="227">
        <v>135</v>
      </c>
      <c r="P35" s="227">
        <v>2</v>
      </c>
      <c r="Q35" s="227">
        <v>1</v>
      </c>
    </row>
    <row r="36" spans="1:19" s="227" customFormat="1" ht="15.75">
      <c r="A36" s="227" t="s">
        <v>140</v>
      </c>
      <c r="B36" s="227" t="s">
        <v>18</v>
      </c>
      <c r="C36" s="227">
        <v>413</v>
      </c>
      <c r="D36" s="232">
        <v>453</v>
      </c>
      <c r="E36" s="225">
        <v>419</v>
      </c>
      <c r="F36" s="225"/>
      <c r="G36" s="232">
        <v>449</v>
      </c>
      <c r="H36" s="232">
        <v>460</v>
      </c>
      <c r="I36" s="225">
        <v>417</v>
      </c>
      <c r="J36" s="225"/>
      <c r="K36" s="225"/>
      <c r="L36" s="159">
        <f t="shared" si="3"/>
        <v>2611</v>
      </c>
      <c r="M36" s="227">
        <v>3</v>
      </c>
      <c r="N36" s="227">
        <v>5</v>
      </c>
      <c r="O36" s="227">
        <v>-22</v>
      </c>
      <c r="P36" s="227">
        <v>0</v>
      </c>
      <c r="S36" s="227">
        <v>1</v>
      </c>
    </row>
    <row r="37" spans="1:19" s="204" customFormat="1" ht="15.75">
      <c r="A37" s="204" t="s">
        <v>141</v>
      </c>
      <c r="B37" s="204" t="s">
        <v>15</v>
      </c>
      <c r="C37" s="204">
        <v>398</v>
      </c>
      <c r="D37" s="220">
        <v>400</v>
      </c>
      <c r="E37" s="220">
        <v>427</v>
      </c>
      <c r="F37" s="224">
        <v>450</v>
      </c>
      <c r="G37" s="224">
        <v>428</v>
      </c>
      <c r="H37" s="224">
        <v>446</v>
      </c>
      <c r="I37" s="220"/>
      <c r="J37" s="220"/>
      <c r="K37" s="220"/>
      <c r="L37" s="162">
        <f t="shared" si="3"/>
        <v>2549</v>
      </c>
      <c r="M37" s="204">
        <v>3</v>
      </c>
      <c r="N37" s="204">
        <v>5</v>
      </c>
      <c r="O37" s="204">
        <v>-85</v>
      </c>
      <c r="P37" s="204">
        <v>0</v>
      </c>
      <c r="S37" s="204">
        <v>1</v>
      </c>
    </row>
    <row r="38" spans="1:19" s="227" customFormat="1" ht="15.75">
      <c r="A38" s="227" t="s">
        <v>142</v>
      </c>
      <c r="B38" s="228" t="s">
        <v>218</v>
      </c>
      <c r="C38" s="225">
        <v>418</v>
      </c>
      <c r="D38" s="225">
        <v>399</v>
      </c>
      <c r="E38" s="232">
        <v>424</v>
      </c>
      <c r="F38" s="225">
        <v>420</v>
      </c>
      <c r="G38" s="225">
        <v>415</v>
      </c>
      <c r="H38" s="232">
        <v>430</v>
      </c>
      <c r="I38" s="225"/>
      <c r="J38" s="225"/>
      <c r="K38" s="225"/>
      <c r="L38" s="159">
        <f t="shared" si="3"/>
        <v>2506</v>
      </c>
      <c r="M38" s="227">
        <v>2</v>
      </c>
      <c r="N38" s="227">
        <v>6</v>
      </c>
      <c r="O38" s="227">
        <v>-54</v>
      </c>
      <c r="P38" s="227">
        <v>0</v>
      </c>
      <c r="S38" s="227">
        <v>1</v>
      </c>
    </row>
    <row r="39" spans="1:17" s="204" customFormat="1" ht="15.75">
      <c r="A39" s="204" t="s">
        <v>143</v>
      </c>
      <c r="B39" s="220" t="s">
        <v>258</v>
      </c>
      <c r="C39" s="224">
        <v>453</v>
      </c>
      <c r="D39" s="224">
        <v>445</v>
      </c>
      <c r="E39" s="224">
        <v>436</v>
      </c>
      <c r="F39" s="220">
        <v>386</v>
      </c>
      <c r="G39" s="220">
        <v>430</v>
      </c>
      <c r="H39" s="220">
        <v>412</v>
      </c>
      <c r="I39" s="220"/>
      <c r="J39" s="220"/>
      <c r="K39" s="220"/>
      <c r="L39" s="162">
        <f t="shared" si="3"/>
        <v>2562</v>
      </c>
      <c r="M39" s="204">
        <v>5</v>
      </c>
      <c r="N39" s="204">
        <v>3</v>
      </c>
      <c r="O39" s="204">
        <v>15</v>
      </c>
      <c r="P39" s="204">
        <v>2</v>
      </c>
      <c r="Q39" s="204">
        <v>1</v>
      </c>
    </row>
    <row r="40" spans="1:19" s="227" customFormat="1" ht="15.75">
      <c r="A40" s="227" t="s">
        <v>144</v>
      </c>
      <c r="B40" s="225" t="s">
        <v>257</v>
      </c>
      <c r="C40" s="232">
        <v>433</v>
      </c>
      <c r="D40" s="225">
        <v>410</v>
      </c>
      <c r="E40" s="225">
        <v>432</v>
      </c>
      <c r="F40" s="225">
        <v>369</v>
      </c>
      <c r="G40" s="232">
        <v>461</v>
      </c>
      <c r="H40" s="232">
        <v>247</v>
      </c>
      <c r="I40" s="232">
        <v>200</v>
      </c>
      <c r="J40" s="225"/>
      <c r="K40" s="225"/>
      <c r="L40" s="159">
        <f t="shared" si="3"/>
        <v>2552</v>
      </c>
      <c r="M40" s="227">
        <v>3</v>
      </c>
      <c r="N40" s="227">
        <v>5</v>
      </c>
      <c r="O40" s="227">
        <v>-12</v>
      </c>
      <c r="P40" s="227">
        <v>0</v>
      </c>
      <c r="S40" s="227">
        <v>1</v>
      </c>
    </row>
    <row r="41" spans="1:19" s="204" customFormat="1" ht="15.75">
      <c r="A41" s="204" t="s">
        <v>145</v>
      </c>
      <c r="B41" s="220" t="s">
        <v>19</v>
      </c>
      <c r="C41" s="224">
        <v>444</v>
      </c>
      <c r="D41" s="220">
        <v>369</v>
      </c>
      <c r="E41" s="220">
        <v>420</v>
      </c>
      <c r="F41" s="220">
        <v>420</v>
      </c>
      <c r="G41" s="224">
        <v>458</v>
      </c>
      <c r="H41" s="224">
        <v>427</v>
      </c>
      <c r="I41" s="220"/>
      <c r="J41" s="220"/>
      <c r="K41" s="220"/>
      <c r="L41" s="162">
        <f t="shared" si="3"/>
        <v>2538</v>
      </c>
      <c r="M41" s="204">
        <v>3</v>
      </c>
      <c r="N41" s="204">
        <v>5</v>
      </c>
      <c r="O41" s="204">
        <v>-24</v>
      </c>
      <c r="P41" s="204">
        <v>0</v>
      </c>
      <c r="S41" s="204">
        <v>1</v>
      </c>
    </row>
    <row r="42" spans="1:19" s="227" customFormat="1" ht="15.75">
      <c r="A42" s="227" t="s">
        <v>146</v>
      </c>
      <c r="B42" s="227" t="s">
        <v>21</v>
      </c>
      <c r="C42" s="227">
        <v>418</v>
      </c>
      <c r="D42" s="228">
        <v>407</v>
      </c>
      <c r="E42" s="228"/>
      <c r="F42" s="230">
        <v>448</v>
      </c>
      <c r="G42" s="230">
        <v>433</v>
      </c>
      <c r="H42" s="230">
        <v>450</v>
      </c>
      <c r="I42" s="228">
        <v>183</v>
      </c>
      <c r="J42" s="228"/>
      <c r="K42" s="228">
        <v>168</v>
      </c>
      <c r="L42" s="159">
        <f t="shared" si="3"/>
        <v>2507</v>
      </c>
      <c r="M42" s="227">
        <v>3</v>
      </c>
      <c r="N42" s="227">
        <v>5</v>
      </c>
      <c r="O42" s="227">
        <v>-9</v>
      </c>
      <c r="P42" s="227">
        <v>0</v>
      </c>
      <c r="S42" s="227">
        <v>1</v>
      </c>
    </row>
    <row r="43" spans="1:19" s="204" customFormat="1" ht="15.75">
      <c r="A43" s="204" t="s">
        <v>147</v>
      </c>
      <c r="B43" s="204" t="s">
        <v>219</v>
      </c>
      <c r="C43" s="224">
        <v>431</v>
      </c>
      <c r="D43" s="224">
        <v>431</v>
      </c>
      <c r="E43" s="220">
        <v>395</v>
      </c>
      <c r="F43" s="220">
        <v>421</v>
      </c>
      <c r="G43" s="220">
        <v>419</v>
      </c>
      <c r="H43" s="224">
        <v>431</v>
      </c>
      <c r="I43" s="220"/>
      <c r="J43" s="220"/>
      <c r="K43" s="220"/>
      <c r="L43" s="162">
        <f t="shared" si="3"/>
        <v>2528</v>
      </c>
      <c r="M43" s="204">
        <v>3</v>
      </c>
      <c r="N43" s="204">
        <v>5</v>
      </c>
      <c r="O43" s="204">
        <v>-115</v>
      </c>
      <c r="P43" s="204">
        <v>0</v>
      </c>
      <c r="S43" s="204">
        <v>1</v>
      </c>
    </row>
    <row r="44" spans="1:19" s="227" customFormat="1" ht="16.5" thickBot="1">
      <c r="A44" s="227" t="s">
        <v>148</v>
      </c>
      <c r="B44" s="227" t="s">
        <v>23</v>
      </c>
      <c r="C44" s="236">
        <v>431</v>
      </c>
      <c r="D44" s="108">
        <v>423</v>
      </c>
      <c r="E44" s="108">
        <v>375</v>
      </c>
      <c r="F44" s="236">
        <v>454</v>
      </c>
      <c r="G44" s="108">
        <v>427</v>
      </c>
      <c r="H44" s="108"/>
      <c r="I44" s="108">
        <v>361</v>
      </c>
      <c r="J44" s="108"/>
      <c r="K44" s="109"/>
      <c r="L44" s="159">
        <f t="shared" si="3"/>
        <v>2471</v>
      </c>
      <c r="M44" s="227">
        <v>2</v>
      </c>
      <c r="N44" s="227">
        <v>6</v>
      </c>
      <c r="O44" s="227">
        <v>-225</v>
      </c>
      <c r="P44" s="227">
        <v>0</v>
      </c>
      <c r="S44" s="227">
        <v>1</v>
      </c>
    </row>
    <row r="45" spans="3:19" ht="16.5" thickTop="1">
      <c r="C45" s="7">
        <f>SUM(C30:C44)</f>
        <v>6300</v>
      </c>
      <c r="D45" s="7">
        <f>SUM(D30:D44)</f>
        <v>6224</v>
      </c>
      <c r="E45" s="7">
        <f>SUM(E30:E37)+SUM(E38:E44)</f>
        <v>5048</v>
      </c>
      <c r="F45" s="7">
        <f>SUM(F30:F34)+SUM(F42:F44)+SUM(F38:F39)</f>
        <v>3725</v>
      </c>
      <c r="G45" s="7">
        <f>SUM(G30:G37)+SUM(G42:G44)+SUM(G38:G40)</f>
        <v>6010</v>
      </c>
      <c r="H45" s="7">
        <f>SUM(H30:H39)+SUM(H41:H43)+SUM(H44:H44)</f>
        <v>5695</v>
      </c>
      <c r="I45" s="7">
        <f>SUM(I30:I39)+SUM(I43)+SUM(I44:I44)</f>
        <v>1527</v>
      </c>
      <c r="J45" s="7">
        <f>SUM(J30:J34)+SUM(J36:J44)</f>
        <v>0</v>
      </c>
      <c r="K45" s="7">
        <f>SUM(K30:K36)+SUM(K38:K41)+SUM(K44:K44)</f>
        <v>376</v>
      </c>
      <c r="M45" s="1">
        <f>SUM(M30:M44)</f>
        <v>56</v>
      </c>
      <c r="N45" s="1">
        <f>SUM(N30:N44)</f>
        <v>64</v>
      </c>
      <c r="O45" s="1">
        <f>SUM(O30:O44)</f>
        <v>-595</v>
      </c>
      <c r="P45" s="1">
        <f>SUM(P30:P44)</f>
        <v>10</v>
      </c>
      <c r="Q45" s="1">
        <f>SUM(Q30:Q44)+Q21</f>
        <v>11</v>
      </c>
      <c r="R45" s="1">
        <f>SUM(R30:R44)+R21</f>
        <v>3</v>
      </c>
      <c r="S45" s="1">
        <f>SUM(S30:S44)+S21</f>
        <v>16</v>
      </c>
    </row>
    <row r="46" spans="2:11" ht="15.75">
      <c r="B46" s="36" t="s">
        <v>214</v>
      </c>
      <c r="C46" s="1">
        <f>COUNT(C30:C44)</f>
        <v>15</v>
      </c>
      <c r="D46" s="1">
        <f>COUNT(D30:D44)</f>
        <v>15</v>
      </c>
      <c r="E46" s="1">
        <f>COUNT(E30:E37)+COUNT(E38:E44)</f>
        <v>12</v>
      </c>
      <c r="F46" s="1">
        <f>COUNT(F30:F34)+COUNT(F42:F44)+COUNT(F38:F39)</f>
        <v>9</v>
      </c>
      <c r="G46" s="1">
        <f>COUNT(G30:G37)+COUNT(G42:G44)+COUNT(G38:G40)</f>
        <v>14</v>
      </c>
      <c r="H46" s="1">
        <f>COUNT(H30:H39)+COUNT(H41:H43)+COUNT(H44:H44)</f>
        <v>13</v>
      </c>
      <c r="I46" s="1">
        <f>COUNT(I30:I39)+COUNT(I43)+COUNT(I44:I44)</f>
        <v>4</v>
      </c>
      <c r="J46" s="1">
        <f>COUNT(J30:J34)+COUNT(J36:J44)</f>
        <v>0</v>
      </c>
      <c r="K46" s="1">
        <f>COUNT(K30:K36)+COUNT(K38:K41)+COUNT(K44:K44)</f>
        <v>1</v>
      </c>
    </row>
    <row r="47" spans="2:19" ht="31.5">
      <c r="B47" s="11" t="s">
        <v>210</v>
      </c>
      <c r="C47" s="16">
        <f>C45/C46</f>
        <v>420</v>
      </c>
      <c r="D47" s="16">
        <f aca="true" t="shared" si="4" ref="D47:J47">D45/D46</f>
        <v>414.93333333333334</v>
      </c>
      <c r="E47" s="16">
        <f t="shared" si="4"/>
        <v>420.6666666666667</v>
      </c>
      <c r="F47" s="16">
        <f t="shared" si="4"/>
        <v>413.8888888888889</v>
      </c>
      <c r="G47" s="16">
        <f t="shared" si="4"/>
        <v>429.2857142857143</v>
      </c>
      <c r="H47" s="16">
        <f t="shared" si="4"/>
        <v>438.0769230769231</v>
      </c>
      <c r="I47" s="16">
        <f t="shared" si="4"/>
        <v>381.75</v>
      </c>
      <c r="J47" s="16" t="e">
        <f t="shared" si="4"/>
        <v>#DIV/0!</v>
      </c>
      <c r="K47" s="16">
        <f>K45/K46</f>
        <v>376</v>
      </c>
      <c r="L47" s="3" t="s">
        <v>27</v>
      </c>
      <c r="M47" s="308" t="s">
        <v>102</v>
      </c>
      <c r="N47" s="308"/>
      <c r="O47" s="3" t="s">
        <v>28</v>
      </c>
      <c r="P47" s="10" t="s">
        <v>103</v>
      </c>
      <c r="R47" s="40" t="s">
        <v>111</v>
      </c>
      <c r="S47" s="40" t="s">
        <v>192</v>
      </c>
    </row>
    <row r="48" spans="12:19" ht="15.75">
      <c r="L48" s="6">
        <f>SUM(L30:L44)+L24</f>
        <v>75654</v>
      </c>
      <c r="M48" s="6">
        <f>SUM(M30:M44)+M24</f>
        <v>117</v>
      </c>
      <c r="N48" s="6">
        <f>SUM(N30:N44)+N24</f>
        <v>123</v>
      </c>
      <c r="O48" s="6">
        <f>SUM(O30:O44)+O24</f>
        <v>-822</v>
      </c>
      <c r="P48" s="6">
        <f>SUM(P30:P44)+P24</f>
        <v>25</v>
      </c>
      <c r="R48" s="2">
        <f>M48-N48</f>
        <v>-6</v>
      </c>
      <c r="S48" s="2">
        <f>SUM(Q45:S45)</f>
        <v>30</v>
      </c>
    </row>
    <row r="50" spans="12:13" ht="15.75">
      <c r="L50" s="1" t="s">
        <v>113</v>
      </c>
      <c r="M50" s="18">
        <f>L48/S48</f>
        <v>2521.8</v>
      </c>
    </row>
  </sheetData>
  <sheetProtection/>
  <mergeCells count="10">
    <mergeCell ref="F1:G1"/>
    <mergeCell ref="L2:M2"/>
    <mergeCell ref="I1:J1"/>
    <mergeCell ref="L1:M1"/>
    <mergeCell ref="M47:N47"/>
    <mergeCell ref="I26:J26"/>
    <mergeCell ref="C4:K4"/>
    <mergeCell ref="M4:N4"/>
    <mergeCell ref="C26:D26"/>
    <mergeCell ref="M23:N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0"/>
  <sheetViews>
    <sheetView zoomScale="90" zoomScaleNormal="90" zoomScalePageLayoutView="0" workbookViewId="0" topLeftCell="B24">
      <selection activeCell="D44" sqref="D44"/>
    </sheetView>
  </sheetViews>
  <sheetFormatPr defaultColWidth="9.00390625" defaultRowHeight="12.75"/>
  <cols>
    <col min="1" max="1" width="12.375" style="1" customWidth="1"/>
    <col min="2" max="2" width="21.00390625" style="1" bestFit="1" customWidth="1"/>
    <col min="3" max="3" width="8.00390625" style="1" customWidth="1"/>
    <col min="4" max="4" width="9.625" style="1" customWidth="1"/>
    <col min="5" max="5" width="9.875" style="1" customWidth="1"/>
    <col min="6" max="9" width="9.125" style="1" customWidth="1"/>
    <col min="10" max="10" width="10.125" style="1" customWidth="1"/>
    <col min="11" max="11" width="11.625" style="1" customWidth="1"/>
    <col min="12" max="12" width="9.375" style="1" customWidth="1"/>
    <col min="13" max="13" width="18.00390625" style="1" customWidth="1"/>
    <col min="14" max="14" width="11.25390625" style="1" customWidth="1"/>
    <col min="15" max="15" width="10.375" style="1" customWidth="1"/>
    <col min="16" max="16" width="15.375" style="1" customWidth="1"/>
    <col min="17" max="17" width="11.875" style="1" customWidth="1"/>
    <col min="19" max="19" width="14.00390625" style="0" customWidth="1"/>
    <col min="20" max="20" width="11.00390625" style="0" customWidth="1"/>
  </cols>
  <sheetData>
    <row r="1" spans="1:14" ht="15.75">
      <c r="A1" s="27" t="s">
        <v>125</v>
      </c>
      <c r="B1" s="28"/>
      <c r="C1" s="28" t="s">
        <v>122</v>
      </c>
      <c r="D1" s="28"/>
      <c r="E1" s="28" t="s">
        <v>126</v>
      </c>
      <c r="F1" s="306" t="s">
        <v>124</v>
      </c>
      <c r="G1" s="306"/>
      <c r="I1" s="301" t="s">
        <v>134</v>
      </c>
      <c r="J1" s="301"/>
      <c r="K1" s="11" t="s">
        <v>135</v>
      </c>
      <c r="L1" s="11" t="s">
        <v>111</v>
      </c>
      <c r="M1" s="1" t="s">
        <v>113</v>
      </c>
      <c r="N1" s="18">
        <f>M24/T24</f>
        <v>2535.866666666667</v>
      </c>
    </row>
    <row r="2" spans="9:14" ht="15.75">
      <c r="I2" s="1">
        <f>N24+N45</f>
        <v>133</v>
      </c>
      <c r="J2" s="1">
        <f>O24+O45</f>
        <v>107</v>
      </c>
      <c r="K2" s="1">
        <f>Q24+Q45</f>
        <v>39</v>
      </c>
      <c r="L2" s="1">
        <f>I2-J2</f>
        <v>26</v>
      </c>
      <c r="M2" s="1" t="s">
        <v>198</v>
      </c>
      <c r="N2" s="6">
        <f>M6+M8+M10+M12+M14+M16+M18+M20+M30+M32+M34+M36+M39+M41+M43</f>
        <v>38142</v>
      </c>
    </row>
    <row r="4" spans="3:20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N4" s="308" t="s">
        <v>25</v>
      </c>
      <c r="O4" s="308"/>
      <c r="R4" s="2"/>
      <c r="S4" s="2"/>
      <c r="T4" s="2"/>
    </row>
    <row r="5" spans="2:20" ht="36.75" customHeight="1" thickBot="1">
      <c r="B5" s="3" t="s">
        <v>22</v>
      </c>
      <c r="C5" s="8" t="s">
        <v>133</v>
      </c>
      <c r="D5" s="72" t="s">
        <v>169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115</v>
      </c>
      <c r="J5" s="8" t="s">
        <v>104</v>
      </c>
      <c r="K5" s="8" t="s">
        <v>106</v>
      </c>
      <c r="L5" s="8" t="s">
        <v>281</v>
      </c>
      <c r="M5" s="5" t="s">
        <v>27</v>
      </c>
      <c r="N5" s="3" t="s">
        <v>15</v>
      </c>
      <c r="O5" s="3" t="s">
        <v>26</v>
      </c>
      <c r="P5" s="3" t="s">
        <v>28</v>
      </c>
      <c r="Q5" s="10" t="s">
        <v>101</v>
      </c>
      <c r="R5" s="2" t="s">
        <v>162</v>
      </c>
      <c r="S5" s="2" t="s">
        <v>163</v>
      </c>
      <c r="T5" s="2" t="s">
        <v>164</v>
      </c>
    </row>
    <row r="6" spans="1:20" s="115" customFormat="1" ht="15.75">
      <c r="A6" s="113" t="s">
        <v>0</v>
      </c>
      <c r="B6" s="114" t="s">
        <v>177</v>
      </c>
      <c r="C6" s="166"/>
      <c r="D6" s="177">
        <v>430</v>
      </c>
      <c r="E6" s="114">
        <v>405</v>
      </c>
      <c r="F6" s="177">
        <v>423</v>
      </c>
      <c r="G6" s="177">
        <v>431</v>
      </c>
      <c r="H6" s="114"/>
      <c r="I6" s="177">
        <v>432</v>
      </c>
      <c r="J6" s="114">
        <v>386</v>
      </c>
      <c r="K6" s="114"/>
      <c r="L6" s="114"/>
      <c r="M6" s="167">
        <f aca="true" t="shared" si="0" ref="M6:M20">SUM(C6:L6)</f>
        <v>2507</v>
      </c>
      <c r="N6" s="113">
        <v>4</v>
      </c>
      <c r="O6" s="113">
        <v>4</v>
      </c>
      <c r="P6" s="118">
        <v>-14</v>
      </c>
      <c r="Q6" s="113">
        <v>1</v>
      </c>
      <c r="R6" s="119"/>
      <c r="S6" s="119">
        <v>1</v>
      </c>
      <c r="T6" s="119"/>
    </row>
    <row r="7" spans="1:20" s="97" customFormat="1" ht="15.75">
      <c r="A7" s="95" t="s">
        <v>1</v>
      </c>
      <c r="B7" s="96" t="s">
        <v>179</v>
      </c>
      <c r="C7" s="138"/>
      <c r="D7" s="101">
        <v>409</v>
      </c>
      <c r="E7" s="174">
        <v>440</v>
      </c>
      <c r="F7" s="174">
        <v>438</v>
      </c>
      <c r="G7" s="179">
        <v>442</v>
      </c>
      <c r="H7" s="174">
        <v>452</v>
      </c>
      <c r="I7" s="101">
        <v>409</v>
      </c>
      <c r="J7" s="101"/>
      <c r="K7" s="101"/>
      <c r="L7" s="101"/>
      <c r="M7" s="163">
        <f t="shared" si="0"/>
        <v>2590</v>
      </c>
      <c r="N7" s="95">
        <v>6</v>
      </c>
      <c r="O7" s="95">
        <v>2</v>
      </c>
      <c r="P7" s="103">
        <v>6</v>
      </c>
      <c r="Q7" s="95">
        <v>2</v>
      </c>
      <c r="R7" s="104">
        <v>1</v>
      </c>
      <c r="S7" s="104"/>
      <c r="T7" s="104"/>
    </row>
    <row r="8" spans="1:20" s="115" customFormat="1" ht="15.75">
      <c r="A8" s="113" t="s">
        <v>2</v>
      </c>
      <c r="B8" s="114" t="s">
        <v>20</v>
      </c>
      <c r="C8" s="166"/>
      <c r="D8" s="114">
        <v>408</v>
      </c>
      <c r="E8" s="177">
        <v>443</v>
      </c>
      <c r="F8" s="177">
        <v>430</v>
      </c>
      <c r="G8" s="114">
        <v>430</v>
      </c>
      <c r="H8" s="114"/>
      <c r="I8" s="114">
        <v>406</v>
      </c>
      <c r="J8" s="114">
        <v>418</v>
      </c>
      <c r="K8" s="114"/>
      <c r="L8" s="114"/>
      <c r="M8" s="167">
        <f t="shared" si="0"/>
        <v>2535</v>
      </c>
      <c r="N8" s="113">
        <v>2</v>
      </c>
      <c r="O8" s="113">
        <v>6</v>
      </c>
      <c r="P8" s="118">
        <v>-96</v>
      </c>
      <c r="Q8" s="113">
        <v>0</v>
      </c>
      <c r="R8" s="119"/>
      <c r="S8" s="119"/>
      <c r="T8" s="119">
        <v>1</v>
      </c>
    </row>
    <row r="9" spans="1:20" s="97" customFormat="1" ht="15.75">
      <c r="A9" s="95" t="s">
        <v>3</v>
      </c>
      <c r="B9" s="96" t="s">
        <v>259</v>
      </c>
      <c r="C9" s="138"/>
      <c r="D9" s="179">
        <v>437</v>
      </c>
      <c r="E9" s="96">
        <v>409</v>
      </c>
      <c r="F9" s="96">
        <v>421</v>
      </c>
      <c r="G9" s="96">
        <v>416</v>
      </c>
      <c r="H9" s="179">
        <v>452</v>
      </c>
      <c r="I9" s="96">
        <v>226</v>
      </c>
      <c r="J9" s="96">
        <v>192</v>
      </c>
      <c r="K9" s="96"/>
      <c r="L9" s="96"/>
      <c r="M9" s="163">
        <f t="shared" si="0"/>
        <v>2553</v>
      </c>
      <c r="N9" s="95">
        <v>2</v>
      </c>
      <c r="O9" s="95">
        <v>6</v>
      </c>
      <c r="P9" s="103">
        <v>-4</v>
      </c>
      <c r="Q9" s="95">
        <v>0</v>
      </c>
      <c r="R9" s="104"/>
      <c r="S9" s="104"/>
      <c r="T9" s="104">
        <v>1</v>
      </c>
    </row>
    <row r="10" spans="1:20" s="115" customFormat="1" ht="15.75">
      <c r="A10" s="113" t="s">
        <v>4</v>
      </c>
      <c r="B10" s="114" t="s">
        <v>178</v>
      </c>
      <c r="C10" s="166"/>
      <c r="D10" s="177">
        <v>416</v>
      </c>
      <c r="E10" s="114">
        <v>406</v>
      </c>
      <c r="F10" s="114">
        <v>406</v>
      </c>
      <c r="G10" s="114">
        <v>404</v>
      </c>
      <c r="H10" s="177">
        <v>435</v>
      </c>
      <c r="I10" s="177">
        <v>449</v>
      </c>
      <c r="J10" s="114"/>
      <c r="K10" s="114"/>
      <c r="L10" s="114"/>
      <c r="M10" s="167">
        <f t="shared" si="0"/>
        <v>2516</v>
      </c>
      <c r="N10" s="113">
        <v>5</v>
      </c>
      <c r="O10" s="113">
        <v>3</v>
      </c>
      <c r="P10" s="118">
        <v>38</v>
      </c>
      <c r="Q10" s="113">
        <v>2</v>
      </c>
      <c r="R10" s="119">
        <v>1</v>
      </c>
      <c r="S10" s="119"/>
      <c r="T10" s="119"/>
    </row>
    <row r="11" spans="1:20" s="97" customFormat="1" ht="15.75">
      <c r="A11" s="95" t="s">
        <v>5</v>
      </c>
      <c r="B11" s="100" t="s">
        <v>17</v>
      </c>
      <c r="C11" s="138"/>
      <c r="D11" s="179">
        <v>442</v>
      </c>
      <c r="E11" s="96">
        <v>416</v>
      </c>
      <c r="F11" s="179">
        <v>440</v>
      </c>
      <c r="G11" s="179">
        <v>440</v>
      </c>
      <c r="H11" s="96"/>
      <c r="I11" s="96">
        <v>415</v>
      </c>
      <c r="J11" s="96">
        <v>409</v>
      </c>
      <c r="K11" s="96"/>
      <c r="L11" s="96"/>
      <c r="M11" s="163">
        <f t="shared" si="0"/>
        <v>2562</v>
      </c>
      <c r="N11" s="95">
        <v>3</v>
      </c>
      <c r="O11" s="95">
        <v>5</v>
      </c>
      <c r="P11" s="95">
        <v>-38</v>
      </c>
      <c r="Q11" s="95">
        <v>0</v>
      </c>
      <c r="R11" s="104"/>
      <c r="S11" s="104"/>
      <c r="T11" s="104">
        <v>1</v>
      </c>
    </row>
    <row r="12" spans="1:20" s="115" customFormat="1" ht="15.75">
      <c r="A12" s="113" t="s">
        <v>6</v>
      </c>
      <c r="B12" s="114" t="s">
        <v>180</v>
      </c>
      <c r="C12" s="166"/>
      <c r="D12" s="177">
        <v>416</v>
      </c>
      <c r="E12" s="114">
        <v>403</v>
      </c>
      <c r="F12" s="114"/>
      <c r="G12" s="177">
        <v>408</v>
      </c>
      <c r="H12" s="114">
        <v>378</v>
      </c>
      <c r="I12" s="114">
        <v>392</v>
      </c>
      <c r="J12" s="177">
        <v>410</v>
      </c>
      <c r="K12" s="114"/>
      <c r="L12" s="114"/>
      <c r="M12" s="167">
        <f t="shared" si="0"/>
        <v>2407</v>
      </c>
      <c r="N12" s="113">
        <v>5</v>
      </c>
      <c r="O12" s="113">
        <v>3</v>
      </c>
      <c r="P12" s="118">
        <v>12</v>
      </c>
      <c r="Q12" s="113">
        <v>2</v>
      </c>
      <c r="R12" s="119">
        <v>1</v>
      </c>
      <c r="S12" s="119"/>
      <c r="T12" s="119"/>
    </row>
    <row r="13" spans="1:20" s="100" customFormat="1" ht="15.75">
      <c r="A13" s="100" t="s">
        <v>7</v>
      </c>
      <c r="B13" s="100" t="s">
        <v>23</v>
      </c>
      <c r="C13" s="96"/>
      <c r="D13" s="96">
        <v>426</v>
      </c>
      <c r="E13" s="96">
        <v>429</v>
      </c>
      <c r="F13" s="96">
        <v>421</v>
      </c>
      <c r="G13" s="96">
        <v>411</v>
      </c>
      <c r="H13" s="179">
        <v>443</v>
      </c>
      <c r="I13" s="179">
        <v>460</v>
      </c>
      <c r="J13" s="96"/>
      <c r="K13" s="96"/>
      <c r="L13" s="96"/>
      <c r="M13" s="164">
        <f t="shared" si="0"/>
        <v>2590</v>
      </c>
      <c r="N13" s="100">
        <v>2</v>
      </c>
      <c r="O13" s="100">
        <v>6</v>
      </c>
      <c r="P13" s="100">
        <v>-71</v>
      </c>
      <c r="Q13" s="100">
        <v>0</v>
      </c>
      <c r="T13" s="100">
        <v>1</v>
      </c>
    </row>
    <row r="14" spans="1:18" s="120" customFormat="1" ht="15.75">
      <c r="A14" s="120" t="s">
        <v>8</v>
      </c>
      <c r="B14" s="114" t="s">
        <v>219</v>
      </c>
      <c r="C14" s="114"/>
      <c r="D14" s="114"/>
      <c r="E14" s="114">
        <v>421</v>
      </c>
      <c r="F14" s="177">
        <v>443</v>
      </c>
      <c r="G14" s="114">
        <v>407</v>
      </c>
      <c r="H14" s="177">
        <v>440</v>
      </c>
      <c r="I14" s="177">
        <v>431</v>
      </c>
      <c r="J14" s="177">
        <v>434</v>
      </c>
      <c r="K14" s="114"/>
      <c r="L14" s="114"/>
      <c r="M14" s="168">
        <f t="shared" si="0"/>
        <v>2576</v>
      </c>
      <c r="N14" s="120">
        <v>6</v>
      </c>
      <c r="O14" s="120">
        <v>2</v>
      </c>
      <c r="P14" s="132">
        <v>31</v>
      </c>
      <c r="Q14" s="120">
        <v>2</v>
      </c>
      <c r="R14" s="120">
        <v>1</v>
      </c>
    </row>
    <row r="15" spans="1:20" s="100" customFormat="1" ht="15.75">
      <c r="A15" s="100" t="s">
        <v>9</v>
      </c>
      <c r="B15" s="100" t="s">
        <v>220</v>
      </c>
      <c r="C15" s="198"/>
      <c r="D15" s="198"/>
      <c r="E15" s="198">
        <v>426</v>
      </c>
      <c r="F15" s="198">
        <v>403</v>
      </c>
      <c r="G15" s="201">
        <v>427</v>
      </c>
      <c r="H15" s="201">
        <v>436</v>
      </c>
      <c r="I15" s="201">
        <v>431</v>
      </c>
      <c r="J15" s="198">
        <v>401</v>
      </c>
      <c r="K15" s="198"/>
      <c r="L15" s="198"/>
      <c r="M15" s="200">
        <v>2524</v>
      </c>
      <c r="N15" s="199">
        <v>3</v>
      </c>
      <c r="O15" s="199">
        <v>5</v>
      </c>
      <c r="P15" s="199">
        <v>-30</v>
      </c>
      <c r="Q15" s="199">
        <v>0</v>
      </c>
      <c r="R15" s="199"/>
      <c r="S15" s="199"/>
      <c r="T15" s="199">
        <v>1</v>
      </c>
    </row>
    <row r="16" spans="1:18" s="120" customFormat="1" ht="15.75">
      <c r="A16" s="120" t="s">
        <v>10</v>
      </c>
      <c r="B16" s="114" t="s">
        <v>19</v>
      </c>
      <c r="C16" s="114"/>
      <c r="D16" s="114">
        <v>415</v>
      </c>
      <c r="E16" s="224">
        <v>443</v>
      </c>
      <c r="F16" s="114"/>
      <c r="G16" s="224">
        <v>436</v>
      </c>
      <c r="H16" s="224">
        <v>443</v>
      </c>
      <c r="I16" s="224">
        <v>462</v>
      </c>
      <c r="J16" s="114">
        <v>414</v>
      </c>
      <c r="K16" s="114"/>
      <c r="L16" s="114"/>
      <c r="M16" s="168">
        <f t="shared" si="0"/>
        <v>2613</v>
      </c>
      <c r="N16" s="120">
        <v>6</v>
      </c>
      <c r="O16" s="120">
        <v>2</v>
      </c>
      <c r="P16" s="132">
        <v>122</v>
      </c>
      <c r="Q16" s="120">
        <v>2</v>
      </c>
      <c r="R16" s="120">
        <v>1</v>
      </c>
    </row>
    <row r="17" spans="1:18" s="100" customFormat="1" ht="15.75">
      <c r="A17" s="100" t="s">
        <v>11</v>
      </c>
      <c r="B17" s="96" t="s">
        <v>257</v>
      </c>
      <c r="C17" s="96"/>
      <c r="D17" s="232">
        <v>415</v>
      </c>
      <c r="E17" s="232">
        <v>427</v>
      </c>
      <c r="F17" s="96">
        <v>407</v>
      </c>
      <c r="G17" s="96"/>
      <c r="H17" s="232">
        <v>438</v>
      </c>
      <c r="I17" s="96">
        <v>387</v>
      </c>
      <c r="J17" s="96">
        <v>395</v>
      </c>
      <c r="K17" s="96"/>
      <c r="L17" s="96"/>
      <c r="M17" s="164">
        <f t="shared" si="0"/>
        <v>2469</v>
      </c>
      <c r="N17" s="100">
        <v>5</v>
      </c>
      <c r="O17" s="100">
        <v>3</v>
      </c>
      <c r="P17" s="99">
        <v>17</v>
      </c>
      <c r="Q17" s="100">
        <v>2</v>
      </c>
      <c r="R17" s="100">
        <v>1</v>
      </c>
    </row>
    <row r="18" spans="1:18" s="120" customFormat="1" ht="15.75">
      <c r="A18" s="120" t="s">
        <v>12</v>
      </c>
      <c r="B18" s="114" t="s">
        <v>258</v>
      </c>
      <c r="C18" s="114"/>
      <c r="D18" s="224">
        <v>439</v>
      </c>
      <c r="E18" s="224">
        <v>420</v>
      </c>
      <c r="F18" s="224">
        <v>415</v>
      </c>
      <c r="G18" s="224">
        <v>444</v>
      </c>
      <c r="H18" s="114"/>
      <c r="I18" s="114"/>
      <c r="J18" s="114">
        <v>397</v>
      </c>
      <c r="K18" s="224">
        <v>419</v>
      </c>
      <c r="L18" s="114"/>
      <c r="M18" s="168">
        <f t="shared" si="0"/>
        <v>2534</v>
      </c>
      <c r="N18" s="120">
        <v>7</v>
      </c>
      <c r="O18" s="120">
        <v>1</v>
      </c>
      <c r="P18" s="120">
        <v>104</v>
      </c>
      <c r="Q18" s="120">
        <v>2</v>
      </c>
      <c r="R18" s="120">
        <v>1</v>
      </c>
    </row>
    <row r="19" spans="1:18" s="100" customFormat="1" ht="15.75">
      <c r="A19" s="100" t="s">
        <v>13</v>
      </c>
      <c r="B19" s="101" t="s">
        <v>218</v>
      </c>
      <c r="C19" s="96"/>
      <c r="D19" s="232">
        <v>447</v>
      </c>
      <c r="E19" s="96">
        <v>391</v>
      </c>
      <c r="F19" s="96">
        <v>401</v>
      </c>
      <c r="G19" s="96">
        <v>412</v>
      </c>
      <c r="H19" s="232">
        <v>494</v>
      </c>
      <c r="I19" s="232">
        <v>478</v>
      </c>
      <c r="J19" s="96"/>
      <c r="K19" s="96"/>
      <c r="L19" s="96"/>
      <c r="M19" s="164">
        <f t="shared" si="0"/>
        <v>2623</v>
      </c>
      <c r="N19" s="100">
        <v>5</v>
      </c>
      <c r="O19" s="100">
        <v>3</v>
      </c>
      <c r="P19" s="100">
        <v>42</v>
      </c>
      <c r="Q19" s="100">
        <v>2</v>
      </c>
      <c r="R19" s="100">
        <v>1</v>
      </c>
    </row>
    <row r="20" spans="1:25" s="120" customFormat="1" ht="16.5" thickBot="1">
      <c r="A20" s="120" t="s">
        <v>14</v>
      </c>
      <c r="B20" s="120" t="s">
        <v>18</v>
      </c>
      <c r="C20" s="125"/>
      <c r="D20" s="125">
        <v>394</v>
      </c>
      <c r="E20" s="235">
        <v>437</v>
      </c>
      <c r="F20" s="235">
        <v>215</v>
      </c>
      <c r="G20" s="125">
        <v>403</v>
      </c>
      <c r="H20" s="125">
        <v>411</v>
      </c>
      <c r="I20" s="235">
        <v>199</v>
      </c>
      <c r="J20" s="125">
        <v>380</v>
      </c>
      <c r="K20" s="125"/>
      <c r="L20" s="125"/>
      <c r="M20" s="168">
        <f t="shared" si="0"/>
        <v>2439</v>
      </c>
      <c r="N20" s="152">
        <v>2</v>
      </c>
      <c r="O20" s="152">
        <v>6</v>
      </c>
      <c r="P20" s="151">
        <v>-115</v>
      </c>
      <c r="Q20" s="152">
        <v>0</v>
      </c>
      <c r="R20" s="152"/>
      <c r="S20" s="152"/>
      <c r="T20" s="152">
        <v>1</v>
      </c>
      <c r="U20" s="135"/>
      <c r="V20" s="135"/>
      <c r="W20" s="135"/>
      <c r="X20" s="135"/>
      <c r="Y20" s="135"/>
    </row>
    <row r="21" spans="3:20" ht="16.5" thickTop="1">
      <c r="C21" s="6">
        <f>SUM(C6:C20)</f>
        <v>0</v>
      </c>
      <c r="D21" s="6">
        <f aca="true" t="shared" si="1" ref="D21:L21">SUM(D6:D20)</f>
        <v>5494</v>
      </c>
      <c r="E21" s="6">
        <f t="shared" si="1"/>
        <v>6316</v>
      </c>
      <c r="F21" s="6">
        <f>SUM(F6:F19)</f>
        <v>5048</v>
      </c>
      <c r="G21" s="6">
        <f t="shared" si="1"/>
        <v>5911</v>
      </c>
      <c r="H21" s="6">
        <f t="shared" si="1"/>
        <v>4822</v>
      </c>
      <c r="I21" s="6">
        <f>SUM(I6:I8)+SUM(I10:I19)</f>
        <v>5152</v>
      </c>
      <c r="J21" s="6">
        <f>SUM(J6:J8)+SUM(J10:J20)</f>
        <v>4044</v>
      </c>
      <c r="K21" s="6">
        <f t="shared" si="1"/>
        <v>419</v>
      </c>
      <c r="L21" s="6">
        <f t="shared" si="1"/>
        <v>0</v>
      </c>
      <c r="N21" s="1">
        <f aca="true" t="shared" si="2" ref="N21:T21">SUM(N4:N20)</f>
        <v>63</v>
      </c>
      <c r="O21" s="1">
        <f t="shared" si="2"/>
        <v>57</v>
      </c>
      <c r="P21" s="1">
        <f t="shared" si="2"/>
        <v>4</v>
      </c>
      <c r="Q21" s="1">
        <f t="shared" si="2"/>
        <v>17</v>
      </c>
      <c r="R21" s="1">
        <f t="shared" si="2"/>
        <v>8</v>
      </c>
      <c r="S21" s="1">
        <f t="shared" si="2"/>
        <v>1</v>
      </c>
      <c r="T21" s="1">
        <f t="shared" si="2"/>
        <v>6</v>
      </c>
    </row>
    <row r="22" spans="2:12" ht="15.75">
      <c r="B22" s="1" t="s">
        <v>161</v>
      </c>
      <c r="C22" s="6">
        <f>COUNT(C6:C20)</f>
        <v>0</v>
      </c>
      <c r="D22" s="6">
        <f aca="true" t="shared" si="3" ref="D22:L22">COUNT(D6:D20)</f>
        <v>13</v>
      </c>
      <c r="E22" s="6">
        <f t="shared" si="3"/>
        <v>15</v>
      </c>
      <c r="F22" s="6">
        <f>COUNT(F6:F19)</f>
        <v>12</v>
      </c>
      <c r="G22" s="6">
        <f t="shared" si="3"/>
        <v>14</v>
      </c>
      <c r="H22" s="6">
        <f t="shared" si="3"/>
        <v>11</v>
      </c>
      <c r="I22" s="6">
        <f>COUNT(I6:I8)+COUNT(I10:I19)</f>
        <v>12</v>
      </c>
      <c r="J22" s="6">
        <f>COUNT(J6:J8)+COUNT(J10:J20)</f>
        <v>10</v>
      </c>
      <c r="K22" s="6">
        <f t="shared" si="3"/>
        <v>1</v>
      </c>
      <c r="L22" s="6">
        <f t="shared" si="3"/>
        <v>0</v>
      </c>
    </row>
    <row r="23" spans="2:20" ht="33.75" customHeight="1">
      <c r="B23" s="11" t="s">
        <v>112</v>
      </c>
      <c r="C23" s="16"/>
      <c r="D23" s="16">
        <f aca="true" t="shared" si="4" ref="D23:J23">D21/D22</f>
        <v>422.61538461538464</v>
      </c>
      <c r="E23" s="16">
        <f t="shared" si="4"/>
        <v>421.06666666666666</v>
      </c>
      <c r="F23" s="17">
        <f t="shared" si="4"/>
        <v>420.6666666666667</v>
      </c>
      <c r="G23" s="16">
        <f t="shared" si="4"/>
        <v>422.2142857142857</v>
      </c>
      <c r="H23" s="16">
        <f t="shared" si="4"/>
        <v>438.3636363636364</v>
      </c>
      <c r="I23" s="17">
        <f t="shared" si="4"/>
        <v>429.3333333333333</v>
      </c>
      <c r="J23" s="17">
        <f t="shared" si="4"/>
        <v>404.4</v>
      </c>
      <c r="K23" s="16"/>
      <c r="L23" s="16"/>
      <c r="M23" s="3" t="s">
        <v>27</v>
      </c>
      <c r="N23" s="308" t="s">
        <v>102</v>
      </c>
      <c r="O23" s="308"/>
      <c r="P23" s="3" t="s">
        <v>28</v>
      </c>
      <c r="Q23" s="10" t="s">
        <v>103</v>
      </c>
      <c r="S23" s="40" t="s">
        <v>111</v>
      </c>
      <c r="T23" s="40" t="s">
        <v>192</v>
      </c>
    </row>
    <row r="24" spans="13:20" ht="15.75">
      <c r="M24" s="6">
        <f>SUM(M6:M20)</f>
        <v>38038</v>
      </c>
      <c r="N24" s="1">
        <f>SUM(N6:N20)</f>
        <v>63</v>
      </c>
      <c r="O24" s="1">
        <f>SUM(O6:O20)</f>
        <v>57</v>
      </c>
      <c r="P24" s="1">
        <f>SUM(P6:P20)</f>
        <v>4</v>
      </c>
      <c r="Q24" s="1">
        <f>SUM(Q6:Q20)</f>
        <v>17</v>
      </c>
      <c r="S24" s="2">
        <f>N24-O24</f>
        <v>6</v>
      </c>
      <c r="T24" s="2">
        <f>SUM(R21:T21)</f>
        <v>15</v>
      </c>
    </row>
    <row r="26" spans="3:12" ht="15.75">
      <c r="C26" s="315" t="s">
        <v>33</v>
      </c>
      <c r="D26" s="315"/>
      <c r="E26" s="176"/>
      <c r="G26" s="311" t="s">
        <v>117</v>
      </c>
      <c r="H26" s="311"/>
      <c r="I26" s="311"/>
      <c r="J26" s="310" t="s">
        <v>118</v>
      </c>
      <c r="K26" s="310"/>
      <c r="L26" s="310"/>
    </row>
    <row r="27" spans="1:20" ht="16.5" thickBo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62"/>
      <c r="S27" s="62"/>
      <c r="T27" s="62"/>
    </row>
    <row r="28" spans="1:7" ht="15.75">
      <c r="A28" s="23"/>
      <c r="B28" s="21"/>
      <c r="C28" s="21"/>
      <c r="D28" s="21"/>
      <c r="E28" s="21"/>
      <c r="F28" s="22"/>
      <c r="G28" s="21"/>
    </row>
    <row r="29" spans="2:20" ht="36.75" customHeight="1" thickBot="1">
      <c r="B29" s="83"/>
      <c r="C29" s="8" t="s">
        <v>133</v>
      </c>
      <c r="D29" s="72" t="s">
        <v>169</v>
      </c>
      <c r="E29" s="8" t="s">
        <v>39</v>
      </c>
      <c r="F29" s="8" t="s">
        <v>40</v>
      </c>
      <c r="G29" s="8" t="s">
        <v>41</v>
      </c>
      <c r="H29" s="8" t="s">
        <v>42</v>
      </c>
      <c r="I29" s="8" t="s">
        <v>115</v>
      </c>
      <c r="J29" s="8" t="s">
        <v>104</v>
      </c>
      <c r="K29" s="8" t="s">
        <v>106</v>
      </c>
      <c r="L29" s="8" t="s">
        <v>281</v>
      </c>
      <c r="M29" s="5" t="s">
        <v>27</v>
      </c>
      <c r="N29" s="3" t="s">
        <v>15</v>
      </c>
      <c r="O29" s="3" t="s">
        <v>26</v>
      </c>
      <c r="P29" s="3" t="s">
        <v>28</v>
      </c>
      <c r="Q29" s="10" t="s">
        <v>101</v>
      </c>
      <c r="R29" s="2" t="s">
        <v>162</v>
      </c>
      <c r="S29" s="2" t="s">
        <v>163</v>
      </c>
      <c r="T29" s="2" t="s">
        <v>164</v>
      </c>
    </row>
    <row r="30" spans="1:20" s="204" customFormat="1" ht="15.75">
      <c r="A30" s="204" t="s">
        <v>286</v>
      </c>
      <c r="B30" s="204" t="s">
        <v>23</v>
      </c>
      <c r="D30" s="220">
        <v>425</v>
      </c>
      <c r="E30" s="220">
        <v>410</v>
      </c>
      <c r="F30" s="220">
        <v>406</v>
      </c>
      <c r="G30" s="220"/>
      <c r="H30" s="220">
        <v>386</v>
      </c>
      <c r="I30" s="224">
        <v>484</v>
      </c>
      <c r="J30" s="220">
        <v>390</v>
      </c>
      <c r="K30" s="220"/>
      <c r="L30" s="220"/>
      <c r="M30" s="162">
        <f>SUM(C30:L30)</f>
        <v>2501</v>
      </c>
      <c r="N30" s="204">
        <v>1</v>
      </c>
      <c r="O30" s="204">
        <v>7</v>
      </c>
      <c r="P30" s="204">
        <v>-188</v>
      </c>
      <c r="Q30" s="204">
        <v>0</v>
      </c>
      <c r="T30" s="204">
        <v>1</v>
      </c>
    </row>
    <row r="31" spans="1:20" s="227" customFormat="1" ht="15.75">
      <c r="A31" s="227" t="s">
        <v>287</v>
      </c>
      <c r="B31" s="227" t="s">
        <v>180</v>
      </c>
      <c r="D31" s="225">
        <v>409</v>
      </c>
      <c r="E31" s="225">
        <v>397</v>
      </c>
      <c r="F31" s="225">
        <v>389</v>
      </c>
      <c r="G31" s="225"/>
      <c r="H31" s="232">
        <v>428</v>
      </c>
      <c r="I31" s="232">
        <v>460</v>
      </c>
      <c r="J31" s="225">
        <v>416</v>
      </c>
      <c r="K31" s="225"/>
      <c r="L31" s="225"/>
      <c r="M31" s="159">
        <f aca="true" t="shared" si="5" ref="M31:M44">SUM(C31:L31)</f>
        <v>2499</v>
      </c>
      <c r="N31" s="227">
        <v>2</v>
      </c>
      <c r="O31" s="227">
        <v>6</v>
      </c>
      <c r="P31" s="227">
        <v>-60</v>
      </c>
      <c r="Q31" s="227">
        <v>0</v>
      </c>
      <c r="T31" s="227">
        <v>1</v>
      </c>
    </row>
    <row r="32" spans="1:18" s="204" customFormat="1" ht="15.75">
      <c r="A32" s="204" t="s">
        <v>136</v>
      </c>
      <c r="B32" s="220" t="s">
        <v>17</v>
      </c>
      <c r="D32" s="224">
        <v>449</v>
      </c>
      <c r="E32" s="224">
        <v>441</v>
      </c>
      <c r="F32" s="224">
        <v>446</v>
      </c>
      <c r="G32" s="224">
        <v>442</v>
      </c>
      <c r="H32" s="220"/>
      <c r="I32" s="224">
        <v>464</v>
      </c>
      <c r="J32" s="220">
        <v>405</v>
      </c>
      <c r="K32" s="220"/>
      <c r="L32" s="220"/>
      <c r="M32" s="162">
        <f t="shared" si="5"/>
        <v>2647</v>
      </c>
      <c r="N32" s="204">
        <v>7</v>
      </c>
      <c r="O32" s="204">
        <v>1</v>
      </c>
      <c r="P32" s="204">
        <f>M32-2545</f>
        <v>102</v>
      </c>
      <c r="Q32" s="204">
        <v>2</v>
      </c>
      <c r="R32" s="204">
        <v>1</v>
      </c>
    </row>
    <row r="33" spans="1:20" s="227" customFormat="1" ht="15.75">
      <c r="A33" s="227" t="s">
        <v>137</v>
      </c>
      <c r="B33" s="225" t="s">
        <v>178</v>
      </c>
      <c r="D33" s="225">
        <v>401</v>
      </c>
      <c r="E33" s="232">
        <v>446</v>
      </c>
      <c r="F33" s="225"/>
      <c r="G33" s="232">
        <v>428</v>
      </c>
      <c r="H33" s="232">
        <v>455</v>
      </c>
      <c r="I33" s="225">
        <v>419</v>
      </c>
      <c r="J33" s="225">
        <v>376</v>
      </c>
      <c r="K33" s="225"/>
      <c r="L33" s="225"/>
      <c r="M33" s="159">
        <f t="shared" si="5"/>
        <v>2525</v>
      </c>
      <c r="N33" s="227">
        <v>3</v>
      </c>
      <c r="O33" s="227">
        <v>5</v>
      </c>
      <c r="P33" s="227">
        <v>-6</v>
      </c>
      <c r="Q33" s="227">
        <v>0</v>
      </c>
      <c r="T33" s="227">
        <v>1</v>
      </c>
    </row>
    <row r="34" spans="1:18" s="204" customFormat="1" ht="15.75">
      <c r="A34" s="204" t="s">
        <v>138</v>
      </c>
      <c r="B34" s="204" t="s">
        <v>259</v>
      </c>
      <c r="D34" s="220">
        <v>425</v>
      </c>
      <c r="E34" s="220">
        <v>425</v>
      </c>
      <c r="F34" s="224">
        <v>458</v>
      </c>
      <c r="G34" s="220">
        <v>418</v>
      </c>
      <c r="H34" s="224">
        <v>461</v>
      </c>
      <c r="I34" s="224">
        <v>445</v>
      </c>
      <c r="J34" s="220"/>
      <c r="K34" s="220"/>
      <c r="L34" s="220"/>
      <c r="M34" s="162">
        <f t="shared" si="5"/>
        <v>2632</v>
      </c>
      <c r="N34" s="204">
        <v>5</v>
      </c>
      <c r="O34" s="204">
        <v>3</v>
      </c>
      <c r="P34" s="204">
        <v>160</v>
      </c>
      <c r="Q34" s="204">
        <v>2</v>
      </c>
      <c r="R34" s="204">
        <v>1</v>
      </c>
    </row>
    <row r="35" spans="1:18" s="227" customFormat="1" ht="15.75">
      <c r="A35" s="227" t="s">
        <v>139</v>
      </c>
      <c r="B35" s="227" t="s">
        <v>20</v>
      </c>
      <c r="D35" s="225">
        <v>427</v>
      </c>
      <c r="E35" s="225">
        <v>425</v>
      </c>
      <c r="F35" s="232">
        <v>450</v>
      </c>
      <c r="G35" s="225">
        <v>430</v>
      </c>
      <c r="H35" s="232">
        <v>452</v>
      </c>
      <c r="I35" s="232">
        <v>444</v>
      </c>
      <c r="J35" s="225"/>
      <c r="K35" s="225"/>
      <c r="L35" s="225"/>
      <c r="M35" s="159">
        <f t="shared" si="5"/>
        <v>2628</v>
      </c>
      <c r="N35" s="227">
        <v>5</v>
      </c>
      <c r="O35" s="227">
        <v>3</v>
      </c>
      <c r="P35" s="227">
        <v>87</v>
      </c>
      <c r="Q35" s="227">
        <v>2</v>
      </c>
      <c r="R35" s="227">
        <v>1</v>
      </c>
    </row>
    <row r="36" spans="1:20" s="204" customFormat="1" ht="15.75">
      <c r="A36" s="204" t="s">
        <v>140</v>
      </c>
      <c r="B36" s="220" t="s">
        <v>179</v>
      </c>
      <c r="D36" s="116"/>
      <c r="E36" s="116">
        <v>412</v>
      </c>
      <c r="F36" s="116">
        <v>435</v>
      </c>
      <c r="G36" s="116">
        <v>386</v>
      </c>
      <c r="H36" s="116">
        <v>423</v>
      </c>
      <c r="I36" s="181">
        <v>449</v>
      </c>
      <c r="J36" s="116"/>
      <c r="K36" s="181">
        <v>443</v>
      </c>
      <c r="L36" s="116"/>
      <c r="M36" s="162">
        <f t="shared" si="5"/>
        <v>2548</v>
      </c>
      <c r="N36" s="204">
        <v>2</v>
      </c>
      <c r="O36" s="204">
        <v>6</v>
      </c>
      <c r="P36" s="204">
        <v>-87</v>
      </c>
      <c r="Q36" s="204">
        <v>0</v>
      </c>
      <c r="T36" s="204">
        <v>1</v>
      </c>
    </row>
    <row r="37" spans="1:18" s="227" customFormat="1" ht="15.75">
      <c r="A37" s="227" t="s">
        <v>141</v>
      </c>
      <c r="B37" s="227" t="s">
        <v>177</v>
      </c>
      <c r="D37" s="225">
        <v>426</v>
      </c>
      <c r="E37" s="225">
        <v>425</v>
      </c>
      <c r="F37" s="232">
        <v>434</v>
      </c>
      <c r="G37" s="225">
        <v>183</v>
      </c>
      <c r="H37" s="232">
        <v>491</v>
      </c>
      <c r="I37" s="232">
        <v>479</v>
      </c>
      <c r="J37" s="225">
        <v>196</v>
      </c>
      <c r="K37" s="225"/>
      <c r="L37" s="225"/>
      <c r="M37" s="159">
        <f t="shared" si="5"/>
        <v>2634</v>
      </c>
      <c r="N37" s="227">
        <v>5</v>
      </c>
      <c r="O37" s="227">
        <v>3</v>
      </c>
      <c r="P37" s="227">
        <v>85</v>
      </c>
      <c r="Q37" s="227">
        <v>2</v>
      </c>
      <c r="R37" s="227">
        <v>1</v>
      </c>
    </row>
    <row r="38" spans="1:18" s="227" customFormat="1" ht="15.75">
      <c r="A38" s="227" t="s">
        <v>142</v>
      </c>
      <c r="B38" s="227" t="s">
        <v>18</v>
      </c>
      <c r="D38" s="232">
        <v>457</v>
      </c>
      <c r="E38" s="225">
        <v>417</v>
      </c>
      <c r="F38" s="232">
        <v>432</v>
      </c>
      <c r="G38" s="232">
        <v>439</v>
      </c>
      <c r="H38" s="232">
        <v>459</v>
      </c>
      <c r="I38" s="225">
        <v>431</v>
      </c>
      <c r="J38" s="225"/>
      <c r="K38" s="225"/>
      <c r="L38" s="225"/>
      <c r="M38" s="159">
        <f t="shared" si="5"/>
        <v>2635</v>
      </c>
      <c r="N38" s="227">
        <v>6</v>
      </c>
      <c r="O38" s="227">
        <v>2</v>
      </c>
      <c r="P38" s="227">
        <v>75</v>
      </c>
      <c r="Q38" s="227">
        <v>2</v>
      </c>
      <c r="R38" s="227">
        <v>1</v>
      </c>
    </row>
    <row r="39" spans="1:18" s="204" customFormat="1" ht="15.75">
      <c r="A39" s="204" t="s">
        <v>143</v>
      </c>
      <c r="B39" s="116" t="s">
        <v>218</v>
      </c>
      <c r="D39" s="224">
        <v>432</v>
      </c>
      <c r="E39" s="224">
        <v>434</v>
      </c>
      <c r="F39" s="224">
        <v>428</v>
      </c>
      <c r="G39" s="220">
        <v>399</v>
      </c>
      <c r="H39" s="220">
        <v>400</v>
      </c>
      <c r="I39" s="224">
        <v>428</v>
      </c>
      <c r="J39" s="220"/>
      <c r="K39" s="220"/>
      <c r="L39" s="220"/>
      <c r="M39" s="162">
        <f t="shared" si="5"/>
        <v>2521</v>
      </c>
      <c r="N39" s="204">
        <v>6</v>
      </c>
      <c r="O39" s="204">
        <v>2</v>
      </c>
      <c r="P39" s="204">
        <v>10</v>
      </c>
      <c r="Q39" s="204">
        <v>2</v>
      </c>
      <c r="R39" s="204">
        <v>1</v>
      </c>
    </row>
    <row r="40" spans="1:18" s="227" customFormat="1" ht="15.75">
      <c r="A40" s="227" t="s">
        <v>144</v>
      </c>
      <c r="B40" s="225" t="s">
        <v>258</v>
      </c>
      <c r="D40" s="225">
        <v>424</v>
      </c>
      <c r="E40" s="232">
        <v>426</v>
      </c>
      <c r="F40" s="232">
        <v>465</v>
      </c>
      <c r="G40" s="232">
        <v>448</v>
      </c>
      <c r="H40" s="225">
        <v>220</v>
      </c>
      <c r="I40" s="232">
        <v>455</v>
      </c>
      <c r="J40" s="225">
        <v>203</v>
      </c>
      <c r="K40" s="225"/>
      <c r="L40" s="225"/>
      <c r="M40" s="159">
        <f t="shared" si="5"/>
        <v>2641</v>
      </c>
      <c r="N40" s="227">
        <v>6</v>
      </c>
      <c r="O40" s="227">
        <v>2</v>
      </c>
      <c r="P40" s="227">
        <v>130</v>
      </c>
      <c r="Q40" s="227">
        <v>2</v>
      </c>
      <c r="R40" s="227">
        <v>1</v>
      </c>
    </row>
    <row r="41" spans="1:18" s="204" customFormat="1" ht="15.75">
      <c r="A41" s="204" t="s">
        <v>145</v>
      </c>
      <c r="B41" s="220" t="s">
        <v>257</v>
      </c>
      <c r="D41" s="220">
        <v>391</v>
      </c>
      <c r="E41" s="224">
        <v>447</v>
      </c>
      <c r="F41" s="224">
        <v>433</v>
      </c>
      <c r="G41" s="224">
        <v>424</v>
      </c>
      <c r="H41" s="224">
        <v>490</v>
      </c>
      <c r="I41" s="224">
        <v>464</v>
      </c>
      <c r="J41" s="220"/>
      <c r="K41" s="220"/>
      <c r="L41" s="220"/>
      <c r="M41" s="162">
        <f t="shared" si="5"/>
        <v>2649</v>
      </c>
      <c r="N41" s="204">
        <v>7</v>
      </c>
      <c r="O41" s="204">
        <v>1</v>
      </c>
      <c r="P41" s="204">
        <v>244</v>
      </c>
      <c r="Q41" s="204">
        <v>2</v>
      </c>
      <c r="R41" s="204">
        <v>1</v>
      </c>
    </row>
    <row r="42" spans="1:18" s="227" customFormat="1" ht="15.75">
      <c r="A42" s="227" t="s">
        <v>146</v>
      </c>
      <c r="B42" s="225" t="s">
        <v>19</v>
      </c>
      <c r="D42" s="225">
        <v>423</v>
      </c>
      <c r="E42" s="232">
        <v>466</v>
      </c>
      <c r="F42" s="225">
        <v>406</v>
      </c>
      <c r="G42" s="232">
        <v>458</v>
      </c>
      <c r="H42" s="225">
        <v>407</v>
      </c>
      <c r="I42" s="232">
        <v>434</v>
      </c>
      <c r="J42" s="225"/>
      <c r="K42" s="225"/>
      <c r="L42" s="225"/>
      <c r="M42" s="159">
        <f t="shared" si="5"/>
        <v>2594</v>
      </c>
      <c r="N42" s="227">
        <v>5</v>
      </c>
      <c r="O42" s="227">
        <v>3</v>
      </c>
      <c r="P42" s="227">
        <v>26</v>
      </c>
      <c r="Q42" s="227">
        <v>2</v>
      </c>
      <c r="R42" s="227">
        <v>1</v>
      </c>
    </row>
    <row r="43" spans="1:18" s="204" customFormat="1" ht="15.75">
      <c r="A43" s="204" t="s">
        <v>147</v>
      </c>
      <c r="B43" s="204" t="s">
        <v>288</v>
      </c>
      <c r="D43" s="220">
        <v>415</v>
      </c>
      <c r="E43" s="220">
        <v>403</v>
      </c>
      <c r="F43" s="220">
        <v>409</v>
      </c>
      <c r="G43" s="224">
        <v>424</v>
      </c>
      <c r="H43" s="224">
        <v>438</v>
      </c>
      <c r="I43" s="224">
        <v>428</v>
      </c>
      <c r="J43" s="220"/>
      <c r="K43" s="220"/>
      <c r="L43" s="220"/>
      <c r="M43" s="162">
        <f t="shared" si="5"/>
        <v>2517</v>
      </c>
      <c r="N43" s="204">
        <v>5</v>
      </c>
      <c r="O43" s="204">
        <v>3</v>
      </c>
      <c r="P43" s="204">
        <v>24</v>
      </c>
      <c r="Q43" s="204">
        <v>2</v>
      </c>
      <c r="R43" s="204">
        <v>1</v>
      </c>
    </row>
    <row r="44" spans="1:18" s="227" customFormat="1" ht="16.5" thickBot="1">
      <c r="A44" s="227" t="s">
        <v>148</v>
      </c>
      <c r="B44" s="227" t="s">
        <v>219</v>
      </c>
      <c r="C44" s="145"/>
      <c r="D44" s="236">
        <v>447</v>
      </c>
      <c r="E44" s="108">
        <v>425</v>
      </c>
      <c r="F44" s="108">
        <v>441</v>
      </c>
      <c r="G44" s="108">
        <v>423</v>
      </c>
      <c r="H44" s="236">
        <v>445</v>
      </c>
      <c r="I44" s="236">
        <v>450</v>
      </c>
      <c r="J44" s="108"/>
      <c r="K44" s="108"/>
      <c r="L44" s="109"/>
      <c r="M44" s="159">
        <f t="shared" si="5"/>
        <v>2631</v>
      </c>
      <c r="N44" s="227">
        <v>5</v>
      </c>
      <c r="O44" s="227">
        <v>3</v>
      </c>
      <c r="P44" s="227">
        <v>45</v>
      </c>
      <c r="Q44" s="227">
        <v>2</v>
      </c>
      <c r="R44" s="227">
        <v>1</v>
      </c>
    </row>
    <row r="45" spans="3:20" ht="16.5" thickTop="1">
      <c r="C45" s="7">
        <f aca="true" t="shared" si="6" ref="C45:L45">SUM(C30:C44)</f>
        <v>0</v>
      </c>
      <c r="D45" s="7">
        <f t="shared" si="6"/>
        <v>5951</v>
      </c>
      <c r="E45" s="7">
        <f t="shared" si="6"/>
        <v>6399</v>
      </c>
      <c r="F45" s="7">
        <f t="shared" si="6"/>
        <v>6032</v>
      </c>
      <c r="G45" s="7">
        <f>SUM(G30:G36)+SUM(G38:G44)</f>
        <v>5119</v>
      </c>
      <c r="H45" s="7">
        <f>SUM(H30:H39)+SUM(H41:H44)</f>
        <v>5735</v>
      </c>
      <c r="I45" s="7">
        <f t="shared" si="6"/>
        <v>6734</v>
      </c>
      <c r="J45" s="7">
        <f>SUM(J30:J36)+SUM(J41:J44)</f>
        <v>1587</v>
      </c>
      <c r="K45" s="7">
        <f t="shared" si="6"/>
        <v>443</v>
      </c>
      <c r="L45" s="7">
        <f t="shared" si="6"/>
        <v>0</v>
      </c>
      <c r="N45" s="1">
        <f>SUM(N30:N44)</f>
        <v>70</v>
      </c>
      <c r="O45" s="1">
        <f>SUM(O30:O44)</f>
        <v>50</v>
      </c>
      <c r="P45" s="1">
        <f>SUM(P30:P44)</f>
        <v>647</v>
      </c>
      <c r="Q45" s="1">
        <f>SUM(Q30:Q44)</f>
        <v>22</v>
      </c>
      <c r="R45" s="1">
        <f>SUM(R30:R44)+R21</f>
        <v>19</v>
      </c>
      <c r="S45" s="1">
        <f>SUM(S30:S44)+S21</f>
        <v>1</v>
      </c>
      <c r="T45" s="1">
        <f>SUM(T30:T44)+T21</f>
        <v>10</v>
      </c>
    </row>
    <row r="46" spans="2:12" ht="15.75">
      <c r="B46" s="36" t="s">
        <v>214</v>
      </c>
      <c r="C46" s="1">
        <f aca="true" t="shared" si="7" ref="C46:L46">COUNT(C30:C44)</f>
        <v>0</v>
      </c>
      <c r="D46" s="1">
        <f t="shared" si="7"/>
        <v>14</v>
      </c>
      <c r="E46" s="1">
        <f t="shared" si="7"/>
        <v>15</v>
      </c>
      <c r="F46" s="1">
        <f t="shared" si="7"/>
        <v>14</v>
      </c>
      <c r="G46" s="1">
        <f>COUNT(G30:G36)+COUNT(G38:G44)</f>
        <v>12</v>
      </c>
      <c r="H46" s="1">
        <f>COUNT(H30:H39)+COUNT(H41:H44)</f>
        <v>13</v>
      </c>
      <c r="I46" s="1">
        <f t="shared" si="7"/>
        <v>15</v>
      </c>
      <c r="J46" s="1">
        <f>COUNT(J30:J36)+COUNT(J41:J44)</f>
        <v>4</v>
      </c>
      <c r="K46" s="1">
        <f t="shared" si="7"/>
        <v>1</v>
      </c>
      <c r="L46" s="1">
        <f t="shared" si="7"/>
        <v>0</v>
      </c>
    </row>
    <row r="47" spans="2:20" ht="31.5">
      <c r="B47" s="11" t="s">
        <v>210</v>
      </c>
      <c r="C47" s="16" t="e">
        <f aca="true" t="shared" si="8" ref="C47:L47">C45/C46</f>
        <v>#DIV/0!</v>
      </c>
      <c r="D47" s="16">
        <f t="shared" si="8"/>
        <v>425.07142857142856</v>
      </c>
      <c r="E47" s="16">
        <f t="shared" si="8"/>
        <v>426.6</v>
      </c>
      <c r="F47" s="16">
        <f t="shared" si="8"/>
        <v>430.85714285714283</v>
      </c>
      <c r="G47" s="16">
        <f t="shared" si="8"/>
        <v>426.5833333333333</v>
      </c>
      <c r="H47" s="16">
        <f t="shared" si="8"/>
        <v>441.15384615384613</v>
      </c>
      <c r="I47" s="16">
        <f t="shared" si="8"/>
        <v>448.93333333333334</v>
      </c>
      <c r="J47" s="16">
        <f t="shared" si="8"/>
        <v>396.75</v>
      </c>
      <c r="K47" s="16">
        <f t="shared" si="8"/>
        <v>443</v>
      </c>
      <c r="L47" s="16" t="e">
        <f t="shared" si="8"/>
        <v>#DIV/0!</v>
      </c>
      <c r="M47" s="3" t="s">
        <v>27</v>
      </c>
      <c r="N47" s="308" t="s">
        <v>102</v>
      </c>
      <c r="O47" s="308"/>
      <c r="P47" s="3" t="s">
        <v>28</v>
      </c>
      <c r="Q47" s="10" t="s">
        <v>103</v>
      </c>
      <c r="S47" s="40" t="s">
        <v>111</v>
      </c>
      <c r="T47" s="40" t="s">
        <v>192</v>
      </c>
    </row>
    <row r="48" spans="11:20" ht="15.75">
      <c r="K48" s="16"/>
      <c r="M48" s="6">
        <f>SUM(M30:M44)+M24</f>
        <v>76840</v>
      </c>
      <c r="N48" s="6">
        <f>SUM(N30:N44)+N24</f>
        <v>133</v>
      </c>
      <c r="O48" s="6">
        <f>SUM(O30:O44)+O24</f>
        <v>107</v>
      </c>
      <c r="P48" s="6">
        <f>SUM(P30:P44)+P24</f>
        <v>651</v>
      </c>
      <c r="Q48" s="6">
        <f>SUM(Q30:Q44)+Q24</f>
        <v>39</v>
      </c>
      <c r="S48" s="2">
        <f>N48-O48</f>
        <v>26</v>
      </c>
      <c r="T48" s="2">
        <f>SUM(R45:T45)</f>
        <v>30</v>
      </c>
    </row>
    <row r="50" spans="13:14" ht="15.75">
      <c r="M50" s="1" t="s">
        <v>113</v>
      </c>
      <c r="N50" s="18">
        <f>M48/T48</f>
        <v>2561.3333333333335</v>
      </c>
    </row>
  </sheetData>
  <sheetProtection/>
  <mergeCells count="9">
    <mergeCell ref="N47:O47"/>
    <mergeCell ref="F1:G1"/>
    <mergeCell ref="G26:I26"/>
    <mergeCell ref="J26:L26"/>
    <mergeCell ref="I1:J1"/>
    <mergeCell ref="C4:L4"/>
    <mergeCell ref="N4:O4"/>
    <mergeCell ref="N23:O23"/>
    <mergeCell ref="C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V50"/>
  <sheetViews>
    <sheetView zoomScale="90" zoomScaleNormal="90" zoomScalePageLayoutView="0" workbookViewId="0" topLeftCell="A25">
      <selection activeCell="I44" sqref="I44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3.25390625" style="1" customWidth="1"/>
    <col min="4" max="4" width="9.125" style="1" customWidth="1"/>
    <col min="5" max="5" width="10.75390625" style="1" customWidth="1"/>
    <col min="6" max="6" width="9.125" style="1" customWidth="1"/>
    <col min="7" max="7" width="10.75390625" style="1" customWidth="1"/>
    <col min="8" max="8" width="9.125" style="1" customWidth="1"/>
    <col min="9" max="9" width="11.375" style="1" customWidth="1"/>
    <col min="10" max="11" width="9.125" style="1" customWidth="1"/>
    <col min="12" max="13" width="10.875" style="1" customWidth="1"/>
    <col min="14" max="14" width="16.875" style="1" customWidth="1"/>
    <col min="15" max="15" width="9.875" style="1" customWidth="1"/>
    <col min="16" max="16" width="12.375" style="1" customWidth="1"/>
    <col min="17" max="17" width="13.375" style="1" customWidth="1"/>
    <col min="18" max="18" width="10.875" style="1" customWidth="1"/>
    <col min="20" max="20" width="11.75390625" style="0" customWidth="1"/>
    <col min="21" max="21" width="12.25390625" style="0" customWidth="1"/>
  </cols>
  <sheetData>
    <row r="1" spans="1:17" ht="15.75">
      <c r="A1" s="306" t="s">
        <v>125</v>
      </c>
      <c r="B1" s="306"/>
      <c r="C1" s="28" t="s">
        <v>174</v>
      </c>
      <c r="D1" s="28" t="s">
        <v>129</v>
      </c>
      <c r="E1" s="29" t="s">
        <v>124</v>
      </c>
      <c r="F1" s="31"/>
      <c r="G1" s="182"/>
      <c r="H1" s="182"/>
      <c r="J1" s="301" t="s">
        <v>134</v>
      </c>
      <c r="K1" s="301"/>
      <c r="L1" s="301"/>
      <c r="M1" s="11" t="s">
        <v>135</v>
      </c>
      <c r="N1" s="84" t="s">
        <v>111</v>
      </c>
      <c r="P1" s="61" t="s">
        <v>113</v>
      </c>
      <c r="Q1" s="18">
        <f>N24/U24</f>
        <v>2619.6</v>
      </c>
    </row>
    <row r="2" spans="10:17" ht="15.75">
      <c r="J2" s="1">
        <f>O24+O45</f>
        <v>135</v>
      </c>
      <c r="L2" s="1">
        <f>P24+P45</f>
        <v>105</v>
      </c>
      <c r="M2" s="1">
        <f>R24+R45</f>
        <v>36</v>
      </c>
      <c r="N2" s="1">
        <f>J2-L2</f>
        <v>30</v>
      </c>
      <c r="P2" s="61" t="s">
        <v>198</v>
      </c>
      <c r="Q2" s="6">
        <f>N7+N10+N12+N14+N16+N18+N20+N30+N32+N34+N35+N37+N39+N41+N43</f>
        <v>38939</v>
      </c>
    </row>
    <row r="4" spans="3:21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O4" s="308" t="s">
        <v>25</v>
      </c>
      <c r="P4" s="308"/>
      <c r="S4" s="2"/>
      <c r="T4" s="2"/>
      <c r="U4" s="2"/>
    </row>
    <row r="5" spans="2:21" ht="48" thickBot="1">
      <c r="B5" s="3" t="s">
        <v>22</v>
      </c>
      <c r="C5" s="8" t="s">
        <v>100</v>
      </c>
      <c r="D5" s="8" t="s">
        <v>59</v>
      </c>
      <c r="E5" s="8" t="s">
        <v>31</v>
      </c>
      <c r="F5" s="8" t="s">
        <v>149</v>
      </c>
      <c r="G5" s="8" t="s">
        <v>43</v>
      </c>
      <c r="H5" s="173" t="s">
        <v>278</v>
      </c>
      <c r="I5" s="8" t="s">
        <v>216</v>
      </c>
      <c r="J5" s="8" t="s">
        <v>60</v>
      </c>
      <c r="K5" s="8"/>
      <c r="L5" s="8" t="s">
        <v>107</v>
      </c>
      <c r="M5" s="8" t="s">
        <v>153</v>
      </c>
      <c r="N5" s="11" t="s">
        <v>27</v>
      </c>
      <c r="O5" s="11" t="s">
        <v>179</v>
      </c>
      <c r="P5" s="11" t="s">
        <v>26</v>
      </c>
      <c r="Q5" s="11" t="s">
        <v>28</v>
      </c>
      <c r="R5" s="10" t="s">
        <v>101</v>
      </c>
      <c r="S5" s="2" t="s">
        <v>162</v>
      </c>
      <c r="T5" s="2" t="s">
        <v>163</v>
      </c>
      <c r="U5" s="2" t="s">
        <v>164</v>
      </c>
    </row>
    <row r="6" spans="1:21" s="97" customFormat="1" ht="15.75">
      <c r="A6" s="95" t="s">
        <v>0</v>
      </c>
      <c r="B6" s="101" t="s">
        <v>218</v>
      </c>
      <c r="C6" s="179">
        <v>443</v>
      </c>
      <c r="D6" s="96"/>
      <c r="E6" s="96">
        <v>431</v>
      </c>
      <c r="F6" s="179">
        <v>454</v>
      </c>
      <c r="G6" s="96">
        <v>436</v>
      </c>
      <c r="H6" s="179">
        <v>451</v>
      </c>
      <c r="I6" s="96">
        <v>438</v>
      </c>
      <c r="J6" s="96"/>
      <c r="K6" s="225"/>
      <c r="L6" s="96"/>
      <c r="M6" s="98"/>
      <c r="N6" s="100">
        <f>SUM(C6:M6)</f>
        <v>2653</v>
      </c>
      <c r="O6" s="95">
        <v>5</v>
      </c>
      <c r="P6" s="95">
        <v>3</v>
      </c>
      <c r="Q6" s="95">
        <v>65</v>
      </c>
      <c r="R6" s="95">
        <v>2</v>
      </c>
      <c r="S6" s="104">
        <v>1</v>
      </c>
      <c r="T6" s="104"/>
      <c r="U6" s="104"/>
    </row>
    <row r="7" spans="1:22" s="115" customFormat="1" ht="15.75">
      <c r="A7" s="113" t="s">
        <v>1</v>
      </c>
      <c r="B7" s="120" t="s">
        <v>15</v>
      </c>
      <c r="C7" s="116">
        <v>427</v>
      </c>
      <c r="D7" s="116"/>
      <c r="E7" s="116">
        <v>390</v>
      </c>
      <c r="F7" s="116">
        <v>408</v>
      </c>
      <c r="G7" s="181">
        <v>428</v>
      </c>
      <c r="H7" s="116">
        <v>414</v>
      </c>
      <c r="I7" s="181">
        <v>517</v>
      </c>
      <c r="J7" s="116"/>
      <c r="K7" s="116"/>
      <c r="L7" s="116"/>
      <c r="M7" s="169"/>
      <c r="N7" s="120">
        <f>SUM(C7:M7)</f>
        <v>2584</v>
      </c>
      <c r="O7" s="121">
        <v>2</v>
      </c>
      <c r="P7" s="121">
        <v>6</v>
      </c>
      <c r="Q7" s="122">
        <v>-6</v>
      </c>
      <c r="R7" s="121">
        <v>0</v>
      </c>
      <c r="S7" s="123"/>
      <c r="T7" s="123"/>
      <c r="U7" s="123">
        <v>1</v>
      </c>
      <c r="V7" s="170"/>
    </row>
    <row r="8" spans="1:19" s="100" customFormat="1" ht="15.75">
      <c r="A8" s="100" t="s">
        <v>2</v>
      </c>
      <c r="B8" s="96" t="s">
        <v>177</v>
      </c>
      <c r="C8" s="96">
        <v>432</v>
      </c>
      <c r="D8" s="179">
        <v>470</v>
      </c>
      <c r="E8" s="179">
        <v>445</v>
      </c>
      <c r="F8" s="96"/>
      <c r="G8" s="96">
        <v>440</v>
      </c>
      <c r="H8" s="179">
        <v>443</v>
      </c>
      <c r="I8" s="96">
        <v>429</v>
      </c>
      <c r="J8" s="96"/>
      <c r="K8" s="225"/>
      <c r="L8" s="96"/>
      <c r="M8" s="102"/>
      <c r="N8" s="100">
        <f aca="true" t="shared" si="0" ref="N8:N20">SUM(C8:M8)</f>
        <v>2659</v>
      </c>
      <c r="O8" s="100">
        <v>5</v>
      </c>
      <c r="P8" s="100">
        <v>3</v>
      </c>
      <c r="Q8" s="100">
        <v>111</v>
      </c>
      <c r="R8" s="100">
        <v>2</v>
      </c>
      <c r="S8" s="100">
        <v>1</v>
      </c>
    </row>
    <row r="9" spans="1:19" s="100" customFormat="1" ht="15.75">
      <c r="A9" s="100" t="s">
        <v>3</v>
      </c>
      <c r="B9" s="96" t="s">
        <v>18</v>
      </c>
      <c r="C9" s="96"/>
      <c r="D9" s="179">
        <v>464</v>
      </c>
      <c r="E9" s="179">
        <v>463</v>
      </c>
      <c r="F9" s="96">
        <v>427</v>
      </c>
      <c r="G9" s="179">
        <v>464</v>
      </c>
      <c r="H9" s="179">
        <v>460</v>
      </c>
      <c r="I9" s="96"/>
      <c r="K9" s="227"/>
      <c r="L9" s="179">
        <v>435</v>
      </c>
      <c r="M9" s="102"/>
      <c r="N9" s="100">
        <f t="shared" si="0"/>
        <v>2713</v>
      </c>
      <c r="O9" s="100">
        <v>7</v>
      </c>
      <c r="P9" s="100">
        <v>1</v>
      </c>
      <c r="Q9" s="99">
        <f>N9-2534</f>
        <v>179</v>
      </c>
      <c r="R9" s="100">
        <v>2</v>
      </c>
      <c r="S9" s="100">
        <v>1</v>
      </c>
    </row>
    <row r="10" spans="1:21" s="120" customFormat="1" ht="15.75">
      <c r="A10" s="120" t="s">
        <v>4</v>
      </c>
      <c r="B10" s="114" t="s">
        <v>20</v>
      </c>
      <c r="C10" s="114">
        <v>423</v>
      </c>
      <c r="D10" s="114">
        <v>421</v>
      </c>
      <c r="E10" s="114">
        <v>433</v>
      </c>
      <c r="F10" s="114"/>
      <c r="G10" s="177">
        <v>453</v>
      </c>
      <c r="H10" s="114">
        <v>426</v>
      </c>
      <c r="I10" s="114"/>
      <c r="J10" s="114"/>
      <c r="K10" s="220"/>
      <c r="L10" s="177">
        <v>450</v>
      </c>
      <c r="M10" s="117"/>
      <c r="N10" s="120">
        <f>SUM(C10:M10)</f>
        <v>2606</v>
      </c>
      <c r="O10" s="120">
        <v>2</v>
      </c>
      <c r="P10" s="120">
        <v>6</v>
      </c>
      <c r="Q10" s="120">
        <v>-66</v>
      </c>
      <c r="R10" s="120">
        <v>0</v>
      </c>
      <c r="U10" s="120">
        <v>1</v>
      </c>
    </row>
    <row r="11" spans="1:19" s="100" customFormat="1" ht="15.75">
      <c r="A11" s="100" t="s">
        <v>5</v>
      </c>
      <c r="B11" s="96" t="s">
        <v>259</v>
      </c>
      <c r="C11" s="96">
        <v>409</v>
      </c>
      <c r="D11" s="96"/>
      <c r="E11" s="96"/>
      <c r="F11" s="179">
        <v>437</v>
      </c>
      <c r="G11" s="179">
        <v>479</v>
      </c>
      <c r="H11" s="179">
        <v>488</v>
      </c>
      <c r="I11" s="96">
        <v>410</v>
      </c>
      <c r="J11" s="96"/>
      <c r="K11" s="225"/>
      <c r="L11" s="179">
        <v>431</v>
      </c>
      <c r="M11" s="102"/>
      <c r="N11" s="100">
        <f t="shared" si="0"/>
        <v>2654</v>
      </c>
      <c r="O11" s="100">
        <v>6</v>
      </c>
      <c r="P11" s="100">
        <v>2</v>
      </c>
      <c r="Q11" s="99">
        <v>219</v>
      </c>
      <c r="R11" s="100">
        <v>2</v>
      </c>
      <c r="S11" s="100">
        <v>1</v>
      </c>
    </row>
    <row r="12" spans="1:21" s="120" customFormat="1" ht="15.75">
      <c r="A12" s="120" t="s">
        <v>6</v>
      </c>
      <c r="B12" s="114" t="s">
        <v>178</v>
      </c>
      <c r="C12" s="114"/>
      <c r="D12" s="114">
        <v>403</v>
      </c>
      <c r="E12" s="177">
        <v>447</v>
      </c>
      <c r="F12" s="114">
        <v>427</v>
      </c>
      <c r="G12" s="114">
        <v>420</v>
      </c>
      <c r="H12" s="177">
        <v>464</v>
      </c>
      <c r="I12" s="177">
        <v>458</v>
      </c>
      <c r="J12" s="114"/>
      <c r="K12" s="220"/>
      <c r="L12" s="114"/>
      <c r="M12" s="117"/>
      <c r="N12" s="120">
        <f t="shared" si="0"/>
        <v>2619</v>
      </c>
      <c r="O12" s="120">
        <v>3</v>
      </c>
      <c r="P12" s="120">
        <v>5</v>
      </c>
      <c r="Q12" s="132">
        <v>-9</v>
      </c>
      <c r="R12" s="120">
        <v>0</v>
      </c>
      <c r="U12" s="120">
        <v>1</v>
      </c>
    </row>
    <row r="13" spans="1:19" s="100" customFormat="1" ht="15.75">
      <c r="A13" s="100" t="s">
        <v>7</v>
      </c>
      <c r="B13" s="100" t="s">
        <v>17</v>
      </c>
      <c r="C13" s="96">
        <v>417</v>
      </c>
      <c r="D13" s="96"/>
      <c r="E13" s="179">
        <v>440</v>
      </c>
      <c r="F13" s="179">
        <v>488</v>
      </c>
      <c r="G13" s="179">
        <v>460</v>
      </c>
      <c r="H13" s="179">
        <v>492</v>
      </c>
      <c r="I13" s="96"/>
      <c r="J13" s="96"/>
      <c r="K13" s="225"/>
      <c r="L13" s="96">
        <v>412</v>
      </c>
      <c r="M13" s="102"/>
      <c r="N13" s="100">
        <f t="shared" si="0"/>
        <v>2709</v>
      </c>
      <c r="O13" s="100">
        <v>6</v>
      </c>
      <c r="P13" s="100">
        <v>2</v>
      </c>
      <c r="Q13" s="100">
        <v>100</v>
      </c>
      <c r="R13" s="100">
        <v>2</v>
      </c>
      <c r="S13" s="100">
        <v>1</v>
      </c>
    </row>
    <row r="14" spans="1:19" s="120" customFormat="1" ht="15.75">
      <c r="A14" s="120" t="s">
        <v>8</v>
      </c>
      <c r="B14" s="114" t="s">
        <v>180</v>
      </c>
      <c r="C14" s="114"/>
      <c r="D14" s="177">
        <v>399</v>
      </c>
      <c r="E14" s="177">
        <v>421</v>
      </c>
      <c r="F14" s="114">
        <v>389</v>
      </c>
      <c r="G14" s="114">
        <v>391</v>
      </c>
      <c r="H14" s="177">
        <v>428</v>
      </c>
      <c r="I14" s="177">
        <v>427</v>
      </c>
      <c r="J14" s="114"/>
      <c r="K14" s="220"/>
      <c r="L14" s="114"/>
      <c r="M14" s="117"/>
      <c r="N14" s="120">
        <f t="shared" si="0"/>
        <v>2455</v>
      </c>
      <c r="O14" s="120">
        <v>6</v>
      </c>
      <c r="P14" s="120">
        <v>2</v>
      </c>
      <c r="Q14" s="120">
        <v>60</v>
      </c>
      <c r="R14" s="120">
        <v>2</v>
      </c>
      <c r="S14" s="120">
        <v>1</v>
      </c>
    </row>
    <row r="15" spans="1:21" s="100" customFormat="1" ht="15.75">
      <c r="A15" s="100" t="s">
        <v>9</v>
      </c>
      <c r="B15" s="100" t="s">
        <v>23</v>
      </c>
      <c r="C15" s="96"/>
      <c r="D15" s="96">
        <v>425</v>
      </c>
      <c r="E15" s="96">
        <v>432</v>
      </c>
      <c r="F15" s="96">
        <v>422</v>
      </c>
      <c r="G15" s="96"/>
      <c r="H15" s="179">
        <v>467</v>
      </c>
      <c r="I15" s="96">
        <v>447</v>
      </c>
      <c r="J15" s="96"/>
      <c r="K15" s="225"/>
      <c r="L15" s="179">
        <v>457</v>
      </c>
      <c r="M15" s="102"/>
      <c r="N15" s="100">
        <f t="shared" si="0"/>
        <v>2650</v>
      </c>
      <c r="O15" s="100">
        <v>2</v>
      </c>
      <c r="P15" s="100">
        <v>6</v>
      </c>
      <c r="Q15" s="99">
        <v>-61</v>
      </c>
      <c r="R15" s="100">
        <v>0</v>
      </c>
      <c r="U15" s="100">
        <v>1</v>
      </c>
    </row>
    <row r="16" spans="1:20" s="120" customFormat="1" ht="15.75">
      <c r="A16" s="120" t="s">
        <v>10</v>
      </c>
      <c r="B16" s="114" t="s">
        <v>219</v>
      </c>
      <c r="C16" s="114"/>
      <c r="D16" s="114">
        <v>414</v>
      </c>
      <c r="E16" s="114">
        <v>437</v>
      </c>
      <c r="F16" s="224">
        <v>441</v>
      </c>
      <c r="G16" s="114"/>
      <c r="H16" s="114">
        <v>439</v>
      </c>
      <c r="I16" s="224">
        <v>444</v>
      </c>
      <c r="J16" s="114"/>
      <c r="K16" s="220"/>
      <c r="L16" s="224">
        <v>444</v>
      </c>
      <c r="M16" s="117"/>
      <c r="N16" s="120">
        <f t="shared" si="0"/>
        <v>2619</v>
      </c>
      <c r="O16" s="120">
        <v>4</v>
      </c>
      <c r="P16" s="120">
        <v>4</v>
      </c>
      <c r="Q16" s="132">
        <v>0</v>
      </c>
      <c r="R16" s="120">
        <v>1</v>
      </c>
      <c r="T16" s="120">
        <v>1</v>
      </c>
    </row>
    <row r="17" spans="1:21" s="100" customFormat="1" ht="15.75">
      <c r="A17" s="100" t="s">
        <v>11</v>
      </c>
      <c r="B17" s="100" t="s">
        <v>220</v>
      </c>
      <c r="C17" s="225">
        <v>393</v>
      </c>
      <c r="D17" s="228"/>
      <c r="E17" s="225">
        <v>424</v>
      </c>
      <c r="F17" s="232">
        <v>433</v>
      </c>
      <c r="G17" s="225">
        <v>393</v>
      </c>
      <c r="H17" s="232">
        <v>441</v>
      </c>
      <c r="I17" s="230">
        <v>428</v>
      </c>
      <c r="J17" s="225"/>
      <c r="K17" s="225"/>
      <c r="L17" s="228"/>
      <c r="M17" s="229"/>
      <c r="N17" s="100">
        <f t="shared" si="0"/>
        <v>2512</v>
      </c>
      <c r="O17" s="100">
        <v>3</v>
      </c>
      <c r="P17" s="100">
        <v>5</v>
      </c>
      <c r="Q17" s="99">
        <v>-73</v>
      </c>
      <c r="R17" s="100">
        <v>0</v>
      </c>
      <c r="U17" s="100">
        <v>1</v>
      </c>
    </row>
    <row r="18" spans="1:19" s="120" customFormat="1" ht="15.75">
      <c r="A18" s="120" t="s">
        <v>12</v>
      </c>
      <c r="B18" s="114" t="s">
        <v>19</v>
      </c>
      <c r="C18" s="224">
        <v>446</v>
      </c>
      <c r="D18" s="114">
        <v>432</v>
      </c>
      <c r="E18" s="114">
        <v>431</v>
      </c>
      <c r="F18" s="224">
        <v>468</v>
      </c>
      <c r="G18" s="114"/>
      <c r="H18" s="114">
        <v>438</v>
      </c>
      <c r="I18" s="114"/>
      <c r="J18" s="114"/>
      <c r="K18" s="220"/>
      <c r="L18" s="224">
        <v>444</v>
      </c>
      <c r="M18" s="117"/>
      <c r="N18" s="120">
        <f>SUM(C18:M18)</f>
        <v>2659</v>
      </c>
      <c r="O18" s="120">
        <v>5</v>
      </c>
      <c r="P18" s="120">
        <v>3</v>
      </c>
      <c r="Q18" s="132">
        <v>158</v>
      </c>
      <c r="R18" s="120">
        <v>2</v>
      </c>
      <c r="S18" s="120">
        <v>1</v>
      </c>
    </row>
    <row r="19" spans="1:19" s="100" customFormat="1" ht="15.75">
      <c r="A19" s="100" t="s">
        <v>13</v>
      </c>
      <c r="B19" s="96" t="s">
        <v>257</v>
      </c>
      <c r="C19" s="96">
        <v>426</v>
      </c>
      <c r="D19" s="96">
        <v>422</v>
      </c>
      <c r="E19" s="232">
        <v>449</v>
      </c>
      <c r="F19" s="232">
        <v>428</v>
      </c>
      <c r="G19" s="96"/>
      <c r="H19" s="232">
        <v>480</v>
      </c>
      <c r="I19" s="232">
        <v>473</v>
      </c>
      <c r="J19" s="96"/>
      <c r="K19" s="225"/>
      <c r="L19" s="96"/>
      <c r="M19" s="102"/>
      <c r="N19" s="100">
        <f>SUM(C19:M19)</f>
        <v>2678</v>
      </c>
      <c r="O19" s="100">
        <v>6</v>
      </c>
      <c r="P19" s="100">
        <v>2</v>
      </c>
      <c r="Q19" s="99">
        <v>288</v>
      </c>
      <c r="R19" s="100">
        <v>2</v>
      </c>
      <c r="S19" s="100">
        <v>1</v>
      </c>
    </row>
    <row r="20" spans="1:21" s="120" customFormat="1" ht="16.5" thickBot="1">
      <c r="A20" s="120" t="s">
        <v>14</v>
      </c>
      <c r="B20" s="114" t="s">
        <v>258</v>
      </c>
      <c r="C20" s="125">
        <v>411</v>
      </c>
      <c r="D20" s="125">
        <v>411</v>
      </c>
      <c r="E20" s="125"/>
      <c r="F20" s="125">
        <v>410</v>
      </c>
      <c r="G20" s="125">
        <v>418</v>
      </c>
      <c r="H20" s="235">
        <v>463</v>
      </c>
      <c r="I20" s="125"/>
      <c r="J20" s="125"/>
      <c r="K20" s="125"/>
      <c r="L20" s="125">
        <v>411</v>
      </c>
      <c r="M20" s="126"/>
      <c r="N20" s="152">
        <f t="shared" si="0"/>
        <v>2524</v>
      </c>
      <c r="O20" s="152">
        <v>1</v>
      </c>
      <c r="P20" s="152">
        <v>7</v>
      </c>
      <c r="Q20" s="151">
        <v>-23</v>
      </c>
      <c r="R20" s="152">
        <v>0</v>
      </c>
      <c r="S20" s="152"/>
      <c r="T20" s="152"/>
      <c r="U20" s="152">
        <v>1</v>
      </c>
    </row>
    <row r="21" spans="3:21" ht="16.5" thickTop="1">
      <c r="C21" s="6">
        <f>SUM(C6:C20)</f>
        <v>4227</v>
      </c>
      <c r="D21" s="6">
        <f aca="true" t="shared" si="1" ref="D21:M21">SUM(D6:D20)</f>
        <v>4261</v>
      </c>
      <c r="E21" s="6">
        <f t="shared" si="1"/>
        <v>5643</v>
      </c>
      <c r="F21" s="6">
        <f t="shared" si="1"/>
        <v>5632</v>
      </c>
      <c r="G21" s="6">
        <f t="shared" si="1"/>
        <v>4782</v>
      </c>
      <c r="H21" s="6">
        <f>SUM(H6:H20)</f>
        <v>6794</v>
      </c>
      <c r="I21" s="6">
        <f t="shared" si="1"/>
        <v>4471</v>
      </c>
      <c r="J21" s="6">
        <f t="shared" si="1"/>
        <v>0</v>
      </c>
      <c r="K21" s="6"/>
      <c r="L21" s="6">
        <f t="shared" si="1"/>
        <v>3484</v>
      </c>
      <c r="M21" s="6">
        <f t="shared" si="1"/>
        <v>0</v>
      </c>
      <c r="O21" s="2">
        <f aca="true" t="shared" si="2" ref="O21:U21">SUM(O6:O20)</f>
        <v>63</v>
      </c>
      <c r="P21" s="2">
        <f t="shared" si="2"/>
        <v>57</v>
      </c>
      <c r="Q21" s="2">
        <f t="shared" si="2"/>
        <v>942</v>
      </c>
      <c r="R21" s="2">
        <f t="shared" si="2"/>
        <v>17</v>
      </c>
      <c r="S21" s="2">
        <f t="shared" si="2"/>
        <v>8</v>
      </c>
      <c r="T21" s="2">
        <f t="shared" si="2"/>
        <v>1</v>
      </c>
      <c r="U21" s="2">
        <f t="shared" si="2"/>
        <v>6</v>
      </c>
    </row>
    <row r="22" spans="2:13" ht="15.75">
      <c r="B22" s="1" t="s">
        <v>194</v>
      </c>
      <c r="C22" s="6">
        <f>COUNT(C6:C20)</f>
        <v>10</v>
      </c>
      <c r="D22" s="6">
        <f aca="true" t="shared" si="3" ref="D22:M22">COUNT(D6:D20)</f>
        <v>10</v>
      </c>
      <c r="E22" s="6">
        <f t="shared" si="3"/>
        <v>13</v>
      </c>
      <c r="F22" s="6">
        <f t="shared" si="3"/>
        <v>13</v>
      </c>
      <c r="G22" s="6">
        <f t="shared" si="3"/>
        <v>11</v>
      </c>
      <c r="H22" s="6">
        <f>COUNT(H6:H20)</f>
        <v>15</v>
      </c>
      <c r="I22" s="6">
        <f t="shared" si="3"/>
        <v>10</v>
      </c>
      <c r="J22" s="6">
        <f t="shared" si="3"/>
        <v>0</v>
      </c>
      <c r="K22" s="6"/>
      <c r="L22" s="6">
        <f t="shared" si="3"/>
        <v>8</v>
      </c>
      <c r="M22" s="6">
        <f t="shared" si="3"/>
        <v>0</v>
      </c>
    </row>
    <row r="23" spans="2:21" ht="33" customHeight="1">
      <c r="B23" s="11" t="s">
        <v>112</v>
      </c>
      <c r="C23" s="16">
        <f aca="true" t="shared" si="4" ref="C23:L23">AVERAGE(C6:C20)</f>
        <v>422.7</v>
      </c>
      <c r="D23" s="16">
        <f t="shared" si="4"/>
        <v>426.1</v>
      </c>
      <c r="E23" s="16">
        <f t="shared" si="4"/>
        <v>434.0769230769231</v>
      </c>
      <c r="F23" s="16">
        <f t="shared" si="4"/>
        <v>433.2307692307692</v>
      </c>
      <c r="G23" s="16">
        <f t="shared" si="4"/>
        <v>434.72727272727275</v>
      </c>
      <c r="H23" s="16">
        <f>AVERAGE(H6:H20)</f>
        <v>452.93333333333334</v>
      </c>
      <c r="I23" s="16">
        <f t="shared" si="4"/>
        <v>447.1</v>
      </c>
      <c r="J23" s="16"/>
      <c r="K23" s="16"/>
      <c r="L23" s="16">
        <f t="shared" si="4"/>
        <v>435.5</v>
      </c>
      <c r="M23" s="16"/>
      <c r="N23" s="3" t="s">
        <v>27</v>
      </c>
      <c r="O23" s="308" t="s">
        <v>102</v>
      </c>
      <c r="P23" s="308"/>
      <c r="Q23" s="3" t="s">
        <v>28</v>
      </c>
      <c r="R23" s="10" t="s">
        <v>103</v>
      </c>
      <c r="T23" s="40" t="s">
        <v>111</v>
      </c>
      <c r="U23" s="40" t="s">
        <v>192</v>
      </c>
    </row>
    <row r="24" spans="14:21" ht="15.75">
      <c r="N24" s="6">
        <f>SUM(N6:N20)</f>
        <v>39294</v>
      </c>
      <c r="O24" s="1">
        <f>SUM(O6:O20)</f>
        <v>63</v>
      </c>
      <c r="P24" s="1">
        <f>SUM(P6:P20)</f>
        <v>57</v>
      </c>
      <c r="Q24" s="1">
        <f>SUM(Q6:Q20)</f>
        <v>942</v>
      </c>
      <c r="R24" s="1">
        <f>SUM(R6:R20)</f>
        <v>17</v>
      </c>
      <c r="T24" s="2">
        <f>O24-P24</f>
        <v>6</v>
      </c>
      <c r="U24" s="2">
        <f>SUM(S21:U21)</f>
        <v>15</v>
      </c>
    </row>
    <row r="26" spans="3:13" ht="15.75">
      <c r="C26" s="316" t="s">
        <v>33</v>
      </c>
      <c r="D26" s="316"/>
      <c r="F26" s="311" t="s">
        <v>117</v>
      </c>
      <c r="G26" s="311"/>
      <c r="H26" s="311"/>
      <c r="I26" s="311"/>
      <c r="L26" s="310" t="s">
        <v>118</v>
      </c>
      <c r="M26" s="310"/>
    </row>
    <row r="27" spans="1:21" ht="16.5" thickBo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62"/>
      <c r="T27" s="62"/>
      <c r="U27" s="62"/>
    </row>
    <row r="28" spans="6:16" ht="15.75">
      <c r="F28" s="21"/>
      <c r="G28" s="21"/>
      <c r="H28" s="21"/>
      <c r="O28" s="308"/>
      <c r="P28" s="308"/>
    </row>
    <row r="29" spans="2:21" ht="48" thickBot="1">
      <c r="B29" s="83"/>
      <c r="C29" s="8" t="s">
        <v>100</v>
      </c>
      <c r="D29" s="8" t="s">
        <v>59</v>
      </c>
      <c r="E29" s="8" t="s">
        <v>31</v>
      </c>
      <c r="F29" s="8" t="s">
        <v>149</v>
      </c>
      <c r="G29" s="8" t="s">
        <v>43</v>
      </c>
      <c r="H29" s="173" t="s">
        <v>278</v>
      </c>
      <c r="I29" s="8" t="s">
        <v>216</v>
      </c>
      <c r="J29" s="8" t="s">
        <v>60</v>
      </c>
      <c r="K29" s="8" t="s">
        <v>294</v>
      </c>
      <c r="L29" s="8" t="s">
        <v>107</v>
      </c>
      <c r="M29" s="8" t="s">
        <v>153</v>
      </c>
      <c r="N29" s="11" t="s">
        <v>27</v>
      </c>
      <c r="O29" s="11" t="s">
        <v>179</v>
      </c>
      <c r="P29" s="11" t="s">
        <v>26</v>
      </c>
      <c r="Q29" s="11" t="s">
        <v>28</v>
      </c>
      <c r="R29" s="10" t="s">
        <v>101</v>
      </c>
      <c r="S29" s="2" t="s">
        <v>162</v>
      </c>
      <c r="T29" s="2" t="s">
        <v>163</v>
      </c>
      <c r="U29" s="2" t="s">
        <v>164</v>
      </c>
    </row>
    <row r="30" spans="1:21" s="204" customFormat="1" ht="15.75">
      <c r="A30" s="204" t="s">
        <v>286</v>
      </c>
      <c r="B30" s="220" t="s">
        <v>17</v>
      </c>
      <c r="D30" s="224">
        <v>435</v>
      </c>
      <c r="E30" s="220">
        <v>411</v>
      </c>
      <c r="F30" s="224">
        <v>436</v>
      </c>
      <c r="G30" s="220">
        <v>417</v>
      </c>
      <c r="H30" s="224">
        <v>452</v>
      </c>
      <c r="I30" s="220"/>
      <c r="J30" s="220"/>
      <c r="K30" s="220"/>
      <c r="L30" s="220">
        <v>419</v>
      </c>
      <c r="M30" s="220"/>
      <c r="N30" s="241">
        <f>SUM(C30:M30)</f>
        <v>2570</v>
      </c>
      <c r="O30" s="204">
        <v>3</v>
      </c>
      <c r="P30" s="204">
        <v>5</v>
      </c>
      <c r="Q30" s="204">
        <f>N30-2649</f>
        <v>-79</v>
      </c>
      <c r="R30" s="204">
        <v>0</v>
      </c>
      <c r="U30" s="204">
        <v>1</v>
      </c>
    </row>
    <row r="31" spans="1:19" s="227" customFormat="1" ht="15.75">
      <c r="A31" s="227" t="s">
        <v>287</v>
      </c>
      <c r="B31" s="225" t="s">
        <v>178</v>
      </c>
      <c r="C31" s="232">
        <v>417</v>
      </c>
      <c r="D31" s="225">
        <v>410</v>
      </c>
      <c r="E31" s="225"/>
      <c r="F31" s="225">
        <v>383</v>
      </c>
      <c r="G31" s="232">
        <v>418</v>
      </c>
      <c r="H31" s="232">
        <v>438</v>
      </c>
      <c r="I31" s="232">
        <v>448</v>
      </c>
      <c r="J31" s="225"/>
      <c r="K31" s="225"/>
      <c r="L31" s="225"/>
      <c r="M31" s="225"/>
      <c r="N31" s="242">
        <f aca="true" t="shared" si="5" ref="N31:N44">SUM(C31:M31)</f>
        <v>2514</v>
      </c>
      <c r="O31" s="227">
        <v>6</v>
      </c>
      <c r="P31" s="227">
        <v>2</v>
      </c>
      <c r="Q31" s="227">
        <v>78</v>
      </c>
      <c r="R31" s="227">
        <v>2</v>
      </c>
      <c r="S31" s="227">
        <v>1</v>
      </c>
    </row>
    <row r="32" spans="1:19" s="204" customFormat="1" ht="15.75">
      <c r="A32" s="204" t="s">
        <v>136</v>
      </c>
      <c r="B32" s="204" t="s">
        <v>259</v>
      </c>
      <c r="C32" s="224">
        <v>457</v>
      </c>
      <c r="D32" s="220">
        <v>412</v>
      </c>
      <c r="E32" s="220">
        <v>417</v>
      </c>
      <c r="F32" s="220"/>
      <c r="G32" s="224">
        <v>452</v>
      </c>
      <c r="H32" s="224">
        <v>446</v>
      </c>
      <c r="I32" s="220"/>
      <c r="J32" s="220"/>
      <c r="K32" s="220"/>
      <c r="L32" s="224">
        <v>424</v>
      </c>
      <c r="M32" s="220"/>
      <c r="N32" s="241">
        <f t="shared" si="5"/>
        <v>2608</v>
      </c>
      <c r="O32" s="204">
        <v>6</v>
      </c>
      <c r="P32" s="204">
        <v>2</v>
      </c>
      <c r="Q32" s="204">
        <v>147</v>
      </c>
      <c r="R32" s="204">
        <v>2</v>
      </c>
      <c r="S32" s="204">
        <v>1</v>
      </c>
    </row>
    <row r="33" spans="1:20" s="227" customFormat="1" ht="15.75">
      <c r="A33" s="227" t="s">
        <v>137</v>
      </c>
      <c r="B33" s="227" t="s">
        <v>20</v>
      </c>
      <c r="C33" s="227">
        <v>402</v>
      </c>
      <c r="D33" s="225">
        <v>388</v>
      </c>
      <c r="E33" s="232">
        <v>432</v>
      </c>
      <c r="F33" s="225"/>
      <c r="G33" s="232">
        <v>445</v>
      </c>
      <c r="H33" s="232">
        <v>445</v>
      </c>
      <c r="I33" s="225"/>
      <c r="J33" s="225"/>
      <c r="K33" s="225"/>
      <c r="L33" s="232">
        <v>443</v>
      </c>
      <c r="M33" s="225"/>
      <c r="N33" s="242">
        <f t="shared" si="5"/>
        <v>2555</v>
      </c>
      <c r="O33" s="227">
        <v>4</v>
      </c>
      <c r="P33" s="227">
        <v>4</v>
      </c>
      <c r="Q33" s="227">
        <v>-31</v>
      </c>
      <c r="R33" s="227">
        <v>1</v>
      </c>
      <c r="T33" s="227">
        <v>1</v>
      </c>
    </row>
    <row r="34" spans="1:21" s="204" customFormat="1" ht="15.75">
      <c r="A34" s="204" t="s">
        <v>138</v>
      </c>
      <c r="B34" s="204" t="s">
        <v>18</v>
      </c>
      <c r="C34" s="204">
        <v>407</v>
      </c>
      <c r="D34" s="220">
        <v>387</v>
      </c>
      <c r="E34" s="220">
        <v>406</v>
      </c>
      <c r="F34" s="220"/>
      <c r="G34" s="220">
        <v>414</v>
      </c>
      <c r="H34" s="224">
        <v>453</v>
      </c>
      <c r="I34" s="224">
        <v>448</v>
      </c>
      <c r="J34" s="220"/>
      <c r="K34" s="220"/>
      <c r="L34" s="220"/>
      <c r="M34" s="220"/>
      <c r="N34" s="241">
        <f t="shared" si="5"/>
        <v>2515</v>
      </c>
      <c r="O34" s="204">
        <v>2</v>
      </c>
      <c r="P34" s="204">
        <v>6</v>
      </c>
      <c r="Q34" s="204">
        <v>-86</v>
      </c>
      <c r="R34" s="204">
        <v>0</v>
      </c>
      <c r="U34" s="204">
        <v>1</v>
      </c>
    </row>
    <row r="35" spans="1:21" s="204" customFormat="1" ht="15.75">
      <c r="A35" s="204" t="s">
        <v>139</v>
      </c>
      <c r="B35" s="204" t="s">
        <v>177</v>
      </c>
      <c r="C35" s="204">
        <v>410</v>
      </c>
      <c r="D35" s="220">
        <v>417</v>
      </c>
      <c r="E35" s="224">
        <v>440</v>
      </c>
      <c r="F35" s="220"/>
      <c r="G35" s="220">
        <v>404</v>
      </c>
      <c r="H35" s="220"/>
      <c r="I35" s="220">
        <v>401</v>
      </c>
      <c r="J35" s="220"/>
      <c r="K35" s="220">
        <v>408</v>
      </c>
      <c r="L35" s="220"/>
      <c r="M35" s="220"/>
      <c r="N35" s="241">
        <f t="shared" si="5"/>
        <v>2480</v>
      </c>
      <c r="O35" s="204">
        <v>1</v>
      </c>
      <c r="P35" s="204">
        <v>7</v>
      </c>
      <c r="Q35" s="204">
        <v>-135</v>
      </c>
      <c r="R35" s="204">
        <v>0</v>
      </c>
      <c r="U35" s="204">
        <v>1</v>
      </c>
    </row>
    <row r="36" spans="1:19" s="227" customFormat="1" ht="15.75">
      <c r="A36" s="227" t="s">
        <v>140</v>
      </c>
      <c r="B36" s="227" t="s">
        <v>15</v>
      </c>
      <c r="D36" s="232">
        <v>441</v>
      </c>
      <c r="E36" s="232">
        <v>447</v>
      </c>
      <c r="F36" s="225"/>
      <c r="G36" s="232">
        <v>448</v>
      </c>
      <c r="H36" s="225">
        <v>429</v>
      </c>
      <c r="I36" s="232">
        <v>472</v>
      </c>
      <c r="J36" s="225"/>
      <c r="K36" s="225"/>
      <c r="L36" s="225">
        <v>400</v>
      </c>
      <c r="M36" s="225"/>
      <c r="N36" s="242">
        <f t="shared" si="5"/>
        <v>2637</v>
      </c>
      <c r="O36" s="227">
        <v>6</v>
      </c>
      <c r="P36" s="227">
        <v>2</v>
      </c>
      <c r="Q36" s="227">
        <v>87</v>
      </c>
      <c r="R36" s="227">
        <v>2</v>
      </c>
      <c r="S36" s="227">
        <v>1</v>
      </c>
    </row>
    <row r="37" spans="1:19" s="204" customFormat="1" ht="15.75">
      <c r="A37" s="204" t="s">
        <v>141</v>
      </c>
      <c r="B37" s="116" t="s">
        <v>218</v>
      </c>
      <c r="C37" s="204">
        <v>413</v>
      </c>
      <c r="D37" s="224">
        <v>436</v>
      </c>
      <c r="E37" s="224">
        <v>439</v>
      </c>
      <c r="F37" s="220"/>
      <c r="G37" s="220">
        <v>405</v>
      </c>
      <c r="H37" s="224">
        <v>472</v>
      </c>
      <c r="I37" s="224">
        <v>446</v>
      </c>
      <c r="J37" s="220"/>
      <c r="K37" s="220"/>
      <c r="L37" s="220"/>
      <c r="M37" s="220"/>
      <c r="N37" s="241">
        <f t="shared" si="5"/>
        <v>2611</v>
      </c>
      <c r="O37" s="204">
        <v>6</v>
      </c>
      <c r="P37" s="204">
        <v>2</v>
      </c>
      <c r="Q37" s="204">
        <v>12</v>
      </c>
      <c r="R37" s="204">
        <v>2</v>
      </c>
      <c r="S37" s="204">
        <v>1</v>
      </c>
    </row>
    <row r="38" spans="1:19" s="227" customFormat="1" ht="15.75">
      <c r="A38" s="227" t="s">
        <v>142</v>
      </c>
      <c r="B38" s="225" t="s">
        <v>258</v>
      </c>
      <c r="C38" s="227">
        <v>220</v>
      </c>
      <c r="D38" s="232">
        <v>446</v>
      </c>
      <c r="E38" s="232">
        <v>476</v>
      </c>
      <c r="F38" s="225"/>
      <c r="G38" s="232">
        <v>219</v>
      </c>
      <c r="H38" s="232">
        <v>459</v>
      </c>
      <c r="I38" s="232">
        <v>472</v>
      </c>
      <c r="J38" s="225"/>
      <c r="K38" s="225">
        <v>180</v>
      </c>
      <c r="L38" s="232">
        <v>213</v>
      </c>
      <c r="M38" s="225"/>
      <c r="N38" s="242">
        <f t="shared" si="5"/>
        <v>2685</v>
      </c>
      <c r="O38" s="227">
        <v>7</v>
      </c>
      <c r="P38" s="227">
        <v>1</v>
      </c>
      <c r="Q38" s="227">
        <v>245</v>
      </c>
      <c r="R38" s="227">
        <v>2</v>
      </c>
      <c r="S38" s="227">
        <v>1</v>
      </c>
    </row>
    <row r="39" spans="1:19" s="204" customFormat="1" ht="15.75">
      <c r="A39" s="204" t="s">
        <v>143</v>
      </c>
      <c r="B39" s="220" t="s">
        <v>257</v>
      </c>
      <c r="C39" s="224">
        <v>444</v>
      </c>
      <c r="D39" s="224">
        <v>444</v>
      </c>
      <c r="E39" s="224">
        <v>432</v>
      </c>
      <c r="F39" s="220"/>
      <c r="G39" s="224">
        <v>451</v>
      </c>
      <c r="H39" s="224">
        <v>497</v>
      </c>
      <c r="I39" s="224">
        <v>437</v>
      </c>
      <c r="J39" s="220"/>
      <c r="K39" s="220"/>
      <c r="L39" s="220"/>
      <c r="M39" s="220"/>
      <c r="N39" s="241">
        <f t="shared" si="5"/>
        <v>2705</v>
      </c>
      <c r="O39" s="204">
        <v>8</v>
      </c>
      <c r="P39" s="204">
        <v>0</v>
      </c>
      <c r="Q39" s="204">
        <v>221</v>
      </c>
      <c r="R39" s="204">
        <v>2</v>
      </c>
      <c r="S39" s="204">
        <v>1</v>
      </c>
    </row>
    <row r="40" spans="1:19" s="227" customFormat="1" ht="15.75">
      <c r="A40" s="227" t="s">
        <v>144</v>
      </c>
      <c r="B40" s="225" t="s">
        <v>19</v>
      </c>
      <c r="C40" s="227">
        <v>409</v>
      </c>
      <c r="D40" s="230">
        <v>428</v>
      </c>
      <c r="E40" s="228"/>
      <c r="F40" s="228"/>
      <c r="G40" s="230">
        <v>440</v>
      </c>
      <c r="H40" s="230">
        <v>469</v>
      </c>
      <c r="I40" s="230">
        <v>436</v>
      </c>
      <c r="J40" s="228"/>
      <c r="K40" s="228"/>
      <c r="L40" s="230">
        <v>428</v>
      </c>
      <c r="M40" s="228"/>
      <c r="N40" s="242">
        <f t="shared" si="5"/>
        <v>2610</v>
      </c>
      <c r="O40" s="227">
        <v>7</v>
      </c>
      <c r="P40" s="227">
        <v>1</v>
      </c>
      <c r="Q40" s="227">
        <v>192</v>
      </c>
      <c r="R40" s="227">
        <v>2</v>
      </c>
      <c r="S40" s="227">
        <v>1</v>
      </c>
    </row>
    <row r="41" spans="1:21" s="204" customFormat="1" ht="15.75">
      <c r="A41" s="204" t="s">
        <v>145</v>
      </c>
      <c r="B41" s="204" t="s">
        <v>288</v>
      </c>
      <c r="C41" s="204">
        <v>429</v>
      </c>
      <c r="D41" s="220">
        <v>438</v>
      </c>
      <c r="E41" s="224">
        <v>448</v>
      </c>
      <c r="F41" s="220"/>
      <c r="G41" s="220">
        <v>437</v>
      </c>
      <c r="H41" s="224">
        <v>464</v>
      </c>
      <c r="I41" s="224">
        <v>443</v>
      </c>
      <c r="J41" s="220"/>
      <c r="K41" s="220"/>
      <c r="L41" s="220"/>
      <c r="M41" s="220"/>
      <c r="N41" s="241">
        <f t="shared" si="5"/>
        <v>2659</v>
      </c>
      <c r="O41" s="204">
        <v>3</v>
      </c>
      <c r="P41" s="204">
        <v>5</v>
      </c>
      <c r="Q41" s="204">
        <v>-3</v>
      </c>
      <c r="R41" s="204">
        <v>0</v>
      </c>
      <c r="U41" s="204">
        <v>1</v>
      </c>
    </row>
    <row r="42" spans="1:19" s="227" customFormat="1" ht="15.75">
      <c r="A42" s="227" t="s">
        <v>146</v>
      </c>
      <c r="B42" s="227" t="s">
        <v>219</v>
      </c>
      <c r="C42" s="227">
        <v>415</v>
      </c>
      <c r="D42" s="225">
        <v>426</v>
      </c>
      <c r="E42" s="225">
        <v>423</v>
      </c>
      <c r="F42" s="225"/>
      <c r="G42" s="232">
        <v>431</v>
      </c>
      <c r="H42" s="232">
        <v>445</v>
      </c>
      <c r="I42" s="232">
        <v>454</v>
      </c>
      <c r="J42" s="225"/>
      <c r="K42" s="225"/>
      <c r="L42" s="225"/>
      <c r="M42" s="225"/>
      <c r="N42" s="242">
        <f t="shared" si="5"/>
        <v>2594</v>
      </c>
      <c r="O42" s="227">
        <v>5</v>
      </c>
      <c r="P42" s="227">
        <v>3</v>
      </c>
      <c r="Q42" s="227">
        <v>5</v>
      </c>
      <c r="R42" s="227">
        <v>2</v>
      </c>
      <c r="S42" s="227">
        <v>1</v>
      </c>
    </row>
    <row r="43" spans="1:19" s="204" customFormat="1" ht="15.75">
      <c r="A43" s="204" t="s">
        <v>147</v>
      </c>
      <c r="B43" s="204" t="s">
        <v>23</v>
      </c>
      <c r="D43" s="220">
        <v>412</v>
      </c>
      <c r="E43" s="224">
        <v>478</v>
      </c>
      <c r="F43" s="220"/>
      <c r="G43" s="220">
        <v>429</v>
      </c>
      <c r="H43" s="220">
        <v>449</v>
      </c>
      <c r="I43" s="224">
        <v>490</v>
      </c>
      <c r="J43" s="220"/>
      <c r="K43" s="220"/>
      <c r="L43" s="224">
        <v>467</v>
      </c>
      <c r="M43" s="220"/>
      <c r="N43" s="241">
        <f t="shared" si="5"/>
        <v>2725</v>
      </c>
      <c r="O43" s="204">
        <v>5</v>
      </c>
      <c r="P43" s="204">
        <v>3</v>
      </c>
      <c r="Q43" s="204">
        <v>85</v>
      </c>
      <c r="R43" s="204">
        <v>2</v>
      </c>
      <c r="S43" s="204">
        <v>1</v>
      </c>
    </row>
    <row r="44" spans="1:21" s="227" customFormat="1" ht="16.5" thickBot="1">
      <c r="A44" s="227" t="s">
        <v>148</v>
      </c>
      <c r="B44" s="227" t="s">
        <v>180</v>
      </c>
      <c r="C44" s="236">
        <v>434</v>
      </c>
      <c r="D44" s="236">
        <v>446</v>
      </c>
      <c r="E44" s="108"/>
      <c r="F44" s="108"/>
      <c r="G44" s="108">
        <v>418</v>
      </c>
      <c r="H44" s="108">
        <v>430</v>
      </c>
      <c r="I44" s="236">
        <v>457</v>
      </c>
      <c r="J44" s="108"/>
      <c r="K44" s="108"/>
      <c r="L44" s="108">
        <v>200</v>
      </c>
      <c r="M44" s="109">
        <v>200</v>
      </c>
      <c r="N44" s="242">
        <f t="shared" si="5"/>
        <v>2585</v>
      </c>
      <c r="O44" s="227">
        <v>3</v>
      </c>
      <c r="P44" s="227">
        <v>5</v>
      </c>
      <c r="Q44" s="227">
        <v>-10</v>
      </c>
      <c r="R44" s="227">
        <v>0</v>
      </c>
      <c r="U44" s="227">
        <v>1</v>
      </c>
    </row>
    <row r="45" spans="3:21" ht="16.5" thickTop="1">
      <c r="C45" s="7">
        <f>SUM(C30:C37)+SUM(C39:C44)</f>
        <v>4637</v>
      </c>
      <c r="D45" s="7">
        <f aca="true" t="shared" si="6" ref="D45:J45">SUM(D30:D44)</f>
        <v>6366</v>
      </c>
      <c r="E45" s="7">
        <f t="shared" si="6"/>
        <v>5249</v>
      </c>
      <c r="F45" s="7">
        <f t="shared" si="6"/>
        <v>819</v>
      </c>
      <c r="G45" s="7">
        <f>SUM(G30:G37)+SUM(G39:G44)</f>
        <v>6009</v>
      </c>
      <c r="H45" s="7">
        <f t="shared" si="6"/>
        <v>6348</v>
      </c>
      <c r="I45" s="7">
        <f t="shared" si="6"/>
        <v>5404</v>
      </c>
      <c r="J45" s="7">
        <f t="shared" si="6"/>
        <v>0</v>
      </c>
      <c r="K45" s="7">
        <f>SUM(K30:K37)+SUM(K39:K44)</f>
        <v>408</v>
      </c>
      <c r="L45" s="7">
        <f>SUM(L30:L37)+SUM(L39:L43)</f>
        <v>2581</v>
      </c>
      <c r="M45" s="7">
        <f>SUM(M32:M43)</f>
        <v>0</v>
      </c>
      <c r="O45" s="1">
        <f>SUM(O30:O44)</f>
        <v>72</v>
      </c>
      <c r="P45" s="1">
        <f>SUM(P30:P44)</f>
        <v>48</v>
      </c>
      <c r="Q45" s="1">
        <f>SUM(Q30:Q44)</f>
        <v>728</v>
      </c>
      <c r="R45" s="1">
        <f>SUM(R30:R44)</f>
        <v>19</v>
      </c>
      <c r="S45" s="1">
        <f>SUM(S30:S44)+S21</f>
        <v>17</v>
      </c>
      <c r="T45" s="1">
        <f>SUM(T30:T44)+T21</f>
        <v>2</v>
      </c>
      <c r="U45" s="1">
        <f>SUM(U30:U44)+U21</f>
        <v>11</v>
      </c>
    </row>
    <row r="46" spans="2:13" ht="15.75">
      <c r="B46" s="36" t="s">
        <v>213</v>
      </c>
      <c r="C46" s="1">
        <f>COUNT(C30:C37)+COUNT(C39:C44)</f>
        <v>11</v>
      </c>
      <c r="D46" s="1">
        <f aca="true" t="shared" si="7" ref="D46:J46">COUNT(D30:D44)</f>
        <v>15</v>
      </c>
      <c r="E46" s="1">
        <f t="shared" si="7"/>
        <v>12</v>
      </c>
      <c r="F46" s="1">
        <f t="shared" si="7"/>
        <v>2</v>
      </c>
      <c r="G46" s="1">
        <f>COUNT(G30:G37)+COUNT(G39:G44)</f>
        <v>14</v>
      </c>
      <c r="H46" s="1">
        <f t="shared" si="7"/>
        <v>14</v>
      </c>
      <c r="I46" s="1">
        <f t="shared" si="7"/>
        <v>12</v>
      </c>
      <c r="J46" s="1">
        <f t="shared" si="7"/>
        <v>0</v>
      </c>
      <c r="K46" s="1">
        <f>COUNT(K30:K37)+COUNT(K39:K44)</f>
        <v>1</v>
      </c>
      <c r="L46" s="1">
        <f>COUNT(L30:L37)+COUNT(L39:L43)</f>
        <v>6</v>
      </c>
      <c r="M46" s="1">
        <f>COUNT(M32:M43)</f>
        <v>0</v>
      </c>
    </row>
    <row r="47" spans="2:21" ht="31.5">
      <c r="B47" s="11" t="s">
        <v>212</v>
      </c>
      <c r="C47" s="16">
        <f aca="true" t="shared" si="8" ref="C47:M47">C45/C46</f>
        <v>421.54545454545456</v>
      </c>
      <c r="D47" s="16">
        <f t="shared" si="8"/>
        <v>424.4</v>
      </c>
      <c r="E47" s="16">
        <f t="shared" si="8"/>
        <v>437.4166666666667</v>
      </c>
      <c r="F47" s="16">
        <f t="shared" si="8"/>
        <v>409.5</v>
      </c>
      <c r="G47" s="16">
        <f>G45/G46</f>
        <v>429.2142857142857</v>
      </c>
      <c r="H47" s="16">
        <f>H45/H46</f>
        <v>453.42857142857144</v>
      </c>
      <c r="I47" s="16">
        <f t="shared" si="8"/>
        <v>450.3333333333333</v>
      </c>
      <c r="J47" s="16" t="e">
        <f t="shared" si="8"/>
        <v>#DIV/0!</v>
      </c>
      <c r="K47" s="16">
        <f>K45/K46</f>
        <v>408</v>
      </c>
      <c r="L47" s="16">
        <f t="shared" si="8"/>
        <v>430.1666666666667</v>
      </c>
      <c r="M47" s="16" t="e">
        <f t="shared" si="8"/>
        <v>#DIV/0!</v>
      </c>
      <c r="N47" s="3" t="s">
        <v>27</v>
      </c>
      <c r="O47" s="308" t="s">
        <v>102</v>
      </c>
      <c r="P47" s="308"/>
      <c r="Q47" s="3" t="s">
        <v>28</v>
      </c>
      <c r="R47" s="10" t="s">
        <v>103</v>
      </c>
      <c r="T47" s="40" t="s">
        <v>111</v>
      </c>
      <c r="U47" s="40" t="s">
        <v>192</v>
      </c>
    </row>
    <row r="48" spans="14:21" ht="15.75">
      <c r="N48" s="6">
        <f>SUM(N30:N44)+N24</f>
        <v>78347</v>
      </c>
      <c r="O48" s="6">
        <f>SUM(O30:O44)+O24</f>
        <v>135</v>
      </c>
      <c r="P48" s="6">
        <f>SUM(P30:P44)+P24</f>
        <v>105</v>
      </c>
      <c r="Q48" s="6">
        <f>SUM(Q30:Q44)+Q24</f>
        <v>1670</v>
      </c>
      <c r="R48" s="6">
        <f>SUM(R30:R44)+R24</f>
        <v>36</v>
      </c>
      <c r="T48" s="2">
        <f>O48-P48</f>
        <v>30</v>
      </c>
      <c r="U48" s="2">
        <f>SUM(S45:U45)</f>
        <v>30</v>
      </c>
    </row>
    <row r="50" spans="14:15" ht="15.75">
      <c r="N50" s="1" t="s">
        <v>113</v>
      </c>
      <c r="O50" s="18">
        <f>N48/U48</f>
        <v>2611.5666666666666</v>
      </c>
    </row>
  </sheetData>
  <sheetProtection/>
  <mergeCells count="10">
    <mergeCell ref="A1:B1"/>
    <mergeCell ref="O28:P28"/>
    <mergeCell ref="J1:L1"/>
    <mergeCell ref="O47:P47"/>
    <mergeCell ref="C4:M4"/>
    <mergeCell ref="O4:P4"/>
    <mergeCell ref="C26:D26"/>
    <mergeCell ref="O23:P23"/>
    <mergeCell ref="F26:I26"/>
    <mergeCell ref="L26:M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9"/>
  <sheetViews>
    <sheetView zoomScale="90" zoomScaleNormal="90" zoomScalePageLayoutView="0" workbookViewId="0" topLeftCell="B21">
      <selection activeCell="H43" sqref="H43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625" style="1" customWidth="1"/>
    <col min="4" max="7" width="9.125" style="1" customWidth="1"/>
    <col min="8" max="8" width="9.75390625" style="1" customWidth="1"/>
    <col min="9" max="9" width="9.125" style="1" customWidth="1"/>
    <col min="10" max="10" width="11.25390625" style="1" customWidth="1"/>
    <col min="11" max="11" width="11.00390625" style="1" customWidth="1"/>
    <col min="12" max="12" width="9.125" style="1" customWidth="1"/>
    <col min="13" max="13" width="17.75390625" style="1" bestFit="1" customWidth="1"/>
    <col min="14" max="14" width="11.00390625" style="1" customWidth="1"/>
    <col min="15" max="15" width="10.375" style="1" customWidth="1"/>
    <col min="16" max="16" width="13.375" style="1" customWidth="1"/>
    <col min="17" max="17" width="13.00390625" style="1" customWidth="1"/>
    <col min="18" max="18" width="10.125" style="0" bestFit="1" customWidth="1"/>
    <col min="19" max="19" width="10.375" style="0" customWidth="1"/>
    <col min="20" max="20" width="11.625" style="0" customWidth="1"/>
  </cols>
  <sheetData>
    <row r="1" spans="1:14" ht="15.75">
      <c r="A1" s="27" t="s">
        <v>125</v>
      </c>
      <c r="B1" s="28"/>
      <c r="C1" s="28" t="s">
        <v>128</v>
      </c>
      <c r="D1" s="28" t="s">
        <v>123</v>
      </c>
      <c r="E1" s="306" t="s">
        <v>124</v>
      </c>
      <c r="F1" s="306"/>
      <c r="H1" s="301" t="s">
        <v>134</v>
      </c>
      <c r="I1" s="301"/>
      <c r="J1" s="11" t="s">
        <v>135</v>
      </c>
      <c r="K1" s="301" t="s">
        <v>111</v>
      </c>
      <c r="L1" s="301"/>
      <c r="M1" s="1" t="s">
        <v>113</v>
      </c>
      <c r="N1" s="18">
        <f>M24/T24</f>
        <v>2494.5333333333333</v>
      </c>
    </row>
    <row r="2" spans="8:14" ht="15.75">
      <c r="H2" s="1">
        <f>N24+N44</f>
        <v>99</v>
      </c>
      <c r="I2" s="1">
        <f>O24+O44</f>
        <v>141</v>
      </c>
      <c r="J2" s="1">
        <f>Q24+Q44</f>
        <v>16</v>
      </c>
      <c r="K2" s="307">
        <f>H2-I2</f>
        <v>-42</v>
      </c>
      <c r="L2" s="307"/>
      <c r="M2" s="1" t="s">
        <v>198</v>
      </c>
      <c r="N2" s="6">
        <f>M6+M8+M10+M12+M14+M16+M17+M19+M29+M31+M33+M35+M37+M39+M42</f>
        <v>37205</v>
      </c>
    </row>
    <row r="4" spans="3:20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N4" s="308" t="s">
        <v>25</v>
      </c>
      <c r="O4" s="308"/>
      <c r="R4" s="2"/>
      <c r="S4" s="2"/>
      <c r="T4" s="2"/>
    </row>
    <row r="5" spans="2:20" ht="32.25" thickBot="1">
      <c r="B5" s="3" t="s">
        <v>22</v>
      </c>
      <c r="C5" s="8" t="s">
        <v>47</v>
      </c>
      <c r="D5" s="8" t="s">
        <v>48</v>
      </c>
      <c r="E5" s="8" t="s">
        <v>49</v>
      </c>
      <c r="F5" s="8" t="s">
        <v>50</v>
      </c>
      <c r="G5" s="8" t="s">
        <v>51</v>
      </c>
      <c r="H5" s="8" t="s">
        <v>235</v>
      </c>
      <c r="I5" s="8" t="s">
        <v>105</v>
      </c>
      <c r="J5" s="8" t="s">
        <v>245</v>
      </c>
      <c r="K5" s="8" t="s">
        <v>284</v>
      </c>
      <c r="L5" s="8"/>
      <c r="M5" s="3" t="s">
        <v>27</v>
      </c>
      <c r="N5" s="3" t="s">
        <v>258</v>
      </c>
      <c r="O5" s="3" t="s">
        <v>26</v>
      </c>
      <c r="P5" s="3" t="s">
        <v>28</v>
      </c>
      <c r="Q5" s="10" t="s">
        <v>101</v>
      </c>
      <c r="R5" s="2" t="s">
        <v>162</v>
      </c>
      <c r="S5" s="2" t="s">
        <v>163</v>
      </c>
      <c r="T5" s="2" t="s">
        <v>164</v>
      </c>
    </row>
    <row r="6" spans="1:20" s="115" customFormat="1" ht="15.75">
      <c r="A6" s="113" t="s">
        <v>0</v>
      </c>
      <c r="B6" s="114" t="s">
        <v>20</v>
      </c>
      <c r="C6" s="114">
        <v>399</v>
      </c>
      <c r="D6" s="181">
        <v>456</v>
      </c>
      <c r="E6" s="181">
        <v>429</v>
      </c>
      <c r="F6" s="116">
        <v>385</v>
      </c>
      <c r="G6" s="116">
        <v>387</v>
      </c>
      <c r="H6" s="116"/>
      <c r="I6" s="116"/>
      <c r="J6" s="181">
        <v>405</v>
      </c>
      <c r="K6" s="116"/>
      <c r="L6" s="147"/>
      <c r="M6" s="118">
        <f>SUM(C6:L6)</f>
        <v>2461</v>
      </c>
      <c r="N6" s="113">
        <v>3</v>
      </c>
      <c r="O6" s="113">
        <v>5</v>
      </c>
      <c r="P6" s="118">
        <v>-78</v>
      </c>
      <c r="Q6" s="113">
        <v>0</v>
      </c>
      <c r="R6" s="119"/>
      <c r="S6" s="119"/>
      <c r="T6" s="119">
        <v>1</v>
      </c>
    </row>
    <row r="7" spans="1:20" s="97" customFormat="1" ht="15.75">
      <c r="A7" s="95" t="s">
        <v>1</v>
      </c>
      <c r="B7" s="96" t="s">
        <v>259</v>
      </c>
      <c r="C7" s="96">
        <v>408</v>
      </c>
      <c r="D7" s="179">
        <v>423</v>
      </c>
      <c r="E7" s="179">
        <v>429</v>
      </c>
      <c r="F7" s="174">
        <v>423</v>
      </c>
      <c r="G7" s="101"/>
      <c r="H7" s="174">
        <v>434</v>
      </c>
      <c r="I7" s="101"/>
      <c r="J7" s="101">
        <v>420</v>
      </c>
      <c r="K7" s="101"/>
      <c r="L7" s="102"/>
      <c r="M7" s="103">
        <f>SUM(C7:L7)</f>
        <v>2537</v>
      </c>
      <c r="N7" s="95">
        <v>6</v>
      </c>
      <c r="O7" s="95">
        <v>2</v>
      </c>
      <c r="P7" s="103">
        <v>40</v>
      </c>
      <c r="Q7" s="95">
        <v>2</v>
      </c>
      <c r="R7" s="104">
        <v>1</v>
      </c>
      <c r="S7" s="104"/>
      <c r="T7" s="104"/>
    </row>
    <row r="8" spans="1:20" s="115" customFormat="1" ht="15.75">
      <c r="A8" s="113" t="s">
        <v>2</v>
      </c>
      <c r="B8" s="114" t="s">
        <v>178</v>
      </c>
      <c r="C8" s="114">
        <v>407</v>
      </c>
      <c r="D8" s="177">
        <v>429</v>
      </c>
      <c r="E8" s="177">
        <v>432</v>
      </c>
      <c r="F8" s="116"/>
      <c r="G8" s="116">
        <v>418</v>
      </c>
      <c r="H8" s="181">
        <v>435</v>
      </c>
      <c r="I8" s="116"/>
      <c r="J8" s="116">
        <v>386</v>
      </c>
      <c r="K8" s="116"/>
      <c r="L8" s="117"/>
      <c r="M8" s="118">
        <f>SUM(C8:L8)</f>
        <v>2507</v>
      </c>
      <c r="N8" s="113">
        <v>3</v>
      </c>
      <c r="O8" s="113">
        <v>5</v>
      </c>
      <c r="P8" s="113">
        <v>-86</v>
      </c>
      <c r="Q8" s="113">
        <v>0</v>
      </c>
      <c r="R8" s="119"/>
      <c r="S8" s="119"/>
      <c r="T8" s="119">
        <v>1</v>
      </c>
    </row>
    <row r="9" spans="1:20" s="97" customFormat="1" ht="15.75">
      <c r="A9" s="95" t="s">
        <v>3</v>
      </c>
      <c r="B9" s="100" t="s">
        <v>17</v>
      </c>
      <c r="C9" s="179">
        <v>445</v>
      </c>
      <c r="D9" s="96">
        <v>411</v>
      </c>
      <c r="E9" s="96">
        <v>415</v>
      </c>
      <c r="F9" s="101">
        <v>421</v>
      </c>
      <c r="G9" s="101">
        <v>354</v>
      </c>
      <c r="H9" s="174">
        <v>451</v>
      </c>
      <c r="I9" s="101"/>
      <c r="J9" s="101"/>
      <c r="K9" s="101"/>
      <c r="L9" s="102"/>
      <c r="M9" s="103">
        <f>SUM(C9:L9)</f>
        <v>2497</v>
      </c>
      <c r="N9" s="95">
        <v>2</v>
      </c>
      <c r="O9" s="95">
        <v>6</v>
      </c>
      <c r="P9" s="95">
        <v>-195</v>
      </c>
      <c r="Q9" s="95">
        <v>0</v>
      </c>
      <c r="R9" s="104"/>
      <c r="S9" s="104"/>
      <c r="T9" s="104">
        <v>1</v>
      </c>
    </row>
    <row r="10" spans="1:20" s="120" customFormat="1" ht="15.75">
      <c r="A10" s="120" t="s">
        <v>4</v>
      </c>
      <c r="B10" s="114" t="s">
        <v>180</v>
      </c>
      <c r="C10" s="114">
        <v>370</v>
      </c>
      <c r="D10" s="177">
        <v>388</v>
      </c>
      <c r="E10" s="177">
        <v>386</v>
      </c>
      <c r="F10" s="114">
        <v>341</v>
      </c>
      <c r="G10" s="114">
        <v>311</v>
      </c>
      <c r="H10" s="114"/>
      <c r="I10" s="114"/>
      <c r="J10" s="177">
        <v>402</v>
      </c>
      <c r="K10" s="114"/>
      <c r="L10" s="117"/>
      <c r="M10" s="132">
        <f>SUM(C10:L10)</f>
        <v>2198</v>
      </c>
      <c r="N10" s="120">
        <v>3</v>
      </c>
      <c r="O10" s="120">
        <v>5</v>
      </c>
      <c r="P10" s="120">
        <v>-119</v>
      </c>
      <c r="Q10" s="120">
        <v>0</v>
      </c>
      <c r="T10" s="120">
        <v>1</v>
      </c>
    </row>
    <row r="11" spans="1:20" s="100" customFormat="1" ht="15.75">
      <c r="A11" s="100" t="s">
        <v>5</v>
      </c>
      <c r="B11" s="100" t="s">
        <v>23</v>
      </c>
      <c r="C11" s="96">
        <v>412</v>
      </c>
      <c r="D11" s="179">
        <v>439</v>
      </c>
      <c r="E11" s="96">
        <v>431</v>
      </c>
      <c r="F11" s="101">
        <v>422</v>
      </c>
      <c r="G11" s="101">
        <v>381</v>
      </c>
      <c r="H11" s="101"/>
      <c r="I11" s="101"/>
      <c r="J11" s="174">
        <v>441</v>
      </c>
      <c r="K11" s="101"/>
      <c r="L11" s="102"/>
      <c r="M11" s="99">
        <f aca="true" t="shared" si="0" ref="M11:M20">SUM(C11:L11)</f>
        <v>2526</v>
      </c>
      <c r="N11" s="100">
        <v>2</v>
      </c>
      <c r="O11" s="100">
        <v>6</v>
      </c>
      <c r="P11" s="99">
        <v>-159</v>
      </c>
      <c r="Q11" s="100">
        <v>0</v>
      </c>
      <c r="T11" s="100">
        <v>1</v>
      </c>
    </row>
    <row r="12" spans="1:20" s="120" customFormat="1" ht="15.75">
      <c r="A12" s="120" t="s">
        <v>6</v>
      </c>
      <c r="B12" s="114" t="s">
        <v>219</v>
      </c>
      <c r="C12" s="114">
        <v>422</v>
      </c>
      <c r="D12" s="177">
        <v>449</v>
      </c>
      <c r="E12" s="177">
        <v>435</v>
      </c>
      <c r="F12" s="116">
        <v>433</v>
      </c>
      <c r="G12" s="116"/>
      <c r="H12" s="116"/>
      <c r="I12" s="116">
        <v>420</v>
      </c>
      <c r="J12" s="116">
        <v>432</v>
      </c>
      <c r="K12" s="116"/>
      <c r="L12" s="117"/>
      <c r="M12" s="132">
        <f t="shared" si="0"/>
        <v>2591</v>
      </c>
      <c r="N12" s="120">
        <v>2</v>
      </c>
      <c r="O12" s="120">
        <v>6</v>
      </c>
      <c r="P12" s="132">
        <v>-51</v>
      </c>
      <c r="Q12" s="120">
        <v>0</v>
      </c>
      <c r="T12" s="120">
        <v>1</v>
      </c>
    </row>
    <row r="13" spans="1:20" s="100" customFormat="1" ht="15.75">
      <c r="A13" s="100" t="s">
        <v>7</v>
      </c>
      <c r="B13" s="100" t="s">
        <v>220</v>
      </c>
      <c r="C13" s="96">
        <v>415</v>
      </c>
      <c r="D13" s="179">
        <v>437</v>
      </c>
      <c r="E13" s="96">
        <v>411</v>
      </c>
      <c r="F13" s="174">
        <v>421</v>
      </c>
      <c r="G13" s="101"/>
      <c r="H13" s="101"/>
      <c r="I13" s="101"/>
      <c r="J13" s="174">
        <v>430</v>
      </c>
      <c r="K13" s="101">
        <v>396</v>
      </c>
      <c r="L13" s="102"/>
      <c r="M13" s="99">
        <f t="shared" si="0"/>
        <v>2510</v>
      </c>
      <c r="N13" s="100">
        <v>3</v>
      </c>
      <c r="O13" s="100">
        <v>5</v>
      </c>
      <c r="P13" s="99">
        <v>-2</v>
      </c>
      <c r="Q13" s="100">
        <v>0</v>
      </c>
      <c r="T13" s="100">
        <v>1</v>
      </c>
    </row>
    <row r="14" spans="1:18" s="120" customFormat="1" ht="15.75">
      <c r="A14" s="120" t="s">
        <v>8</v>
      </c>
      <c r="B14" s="114" t="s">
        <v>19</v>
      </c>
      <c r="C14" s="181">
        <v>432</v>
      </c>
      <c r="D14" s="177">
        <v>468</v>
      </c>
      <c r="E14" s="114">
        <v>399</v>
      </c>
      <c r="F14" s="114">
        <v>394</v>
      </c>
      <c r="G14" s="114"/>
      <c r="H14" s="177">
        <v>441</v>
      </c>
      <c r="I14" s="114"/>
      <c r="J14" s="181">
        <v>456</v>
      </c>
      <c r="K14" s="116"/>
      <c r="L14" s="117"/>
      <c r="M14" s="132">
        <f t="shared" si="0"/>
        <v>2590</v>
      </c>
      <c r="N14" s="120">
        <v>6</v>
      </c>
      <c r="O14" s="120">
        <v>2</v>
      </c>
      <c r="P14" s="132">
        <v>45</v>
      </c>
      <c r="Q14" s="120">
        <v>2</v>
      </c>
      <c r="R14" s="120">
        <v>1</v>
      </c>
    </row>
    <row r="15" spans="1:18" s="100" customFormat="1" ht="15.75">
      <c r="A15" s="100" t="s">
        <v>9</v>
      </c>
      <c r="B15" s="96" t="s">
        <v>257</v>
      </c>
      <c r="C15" s="232">
        <v>442</v>
      </c>
      <c r="D15" s="232">
        <v>429</v>
      </c>
      <c r="E15" s="225"/>
      <c r="F15" s="228"/>
      <c r="G15" s="228"/>
      <c r="H15" s="230">
        <v>450</v>
      </c>
      <c r="I15" s="228">
        <v>413</v>
      </c>
      <c r="J15" s="230">
        <v>422</v>
      </c>
      <c r="K15" s="228">
        <v>366</v>
      </c>
      <c r="L15" s="229"/>
      <c r="M15" s="226">
        <v>2522</v>
      </c>
      <c r="N15" s="227">
        <v>6</v>
      </c>
      <c r="O15" s="227">
        <v>2</v>
      </c>
      <c r="P15" s="226">
        <v>131</v>
      </c>
      <c r="Q15" s="227">
        <v>2</v>
      </c>
      <c r="R15" s="227">
        <v>1</v>
      </c>
    </row>
    <row r="16" spans="1:20" s="120" customFormat="1" ht="15.75">
      <c r="A16" s="120" t="s">
        <v>10</v>
      </c>
      <c r="B16" s="114" t="s">
        <v>18</v>
      </c>
      <c r="C16" s="114">
        <v>400</v>
      </c>
      <c r="D16" s="224">
        <v>436</v>
      </c>
      <c r="E16" s="224">
        <v>445</v>
      </c>
      <c r="F16" s="116">
        <v>423</v>
      </c>
      <c r="G16" s="116"/>
      <c r="H16" s="116">
        <v>414</v>
      </c>
      <c r="I16" s="116"/>
      <c r="J16" s="116">
        <v>407</v>
      </c>
      <c r="K16" s="116"/>
      <c r="L16" s="117"/>
      <c r="M16" s="132">
        <f t="shared" si="0"/>
        <v>2525</v>
      </c>
      <c r="N16" s="120">
        <v>2</v>
      </c>
      <c r="O16" s="120">
        <v>6</v>
      </c>
      <c r="P16" s="132">
        <v>-64</v>
      </c>
      <c r="Q16" s="120">
        <v>0</v>
      </c>
      <c r="T16" s="120">
        <v>1</v>
      </c>
    </row>
    <row r="17" spans="1:20" s="120" customFormat="1" ht="15.75">
      <c r="A17" s="120" t="s">
        <v>11</v>
      </c>
      <c r="B17" s="116" t="s">
        <v>218</v>
      </c>
      <c r="C17" s="114">
        <v>398</v>
      </c>
      <c r="D17" s="224">
        <v>441</v>
      </c>
      <c r="E17" s="224">
        <v>427</v>
      </c>
      <c r="F17" s="116">
        <v>415</v>
      </c>
      <c r="G17" s="181">
        <v>422</v>
      </c>
      <c r="H17" s="116"/>
      <c r="I17" s="116"/>
      <c r="J17" s="116">
        <v>394</v>
      </c>
      <c r="K17" s="116"/>
      <c r="L17" s="117"/>
      <c r="M17" s="132">
        <f t="shared" si="0"/>
        <v>2497</v>
      </c>
      <c r="N17" s="120">
        <v>3</v>
      </c>
      <c r="O17" s="120">
        <v>5</v>
      </c>
      <c r="P17" s="132">
        <v>-21</v>
      </c>
      <c r="Q17" s="120">
        <v>0</v>
      </c>
      <c r="T17" s="120">
        <v>1</v>
      </c>
    </row>
    <row r="18" spans="1:20" s="100" customFormat="1" ht="15.75">
      <c r="A18" s="100" t="s">
        <v>12</v>
      </c>
      <c r="B18" s="100" t="s">
        <v>15</v>
      </c>
      <c r="C18" s="96">
        <v>392</v>
      </c>
      <c r="D18" s="232">
        <v>441</v>
      </c>
      <c r="E18" s="96">
        <v>414</v>
      </c>
      <c r="F18" s="101">
        <v>381</v>
      </c>
      <c r="G18" s="101">
        <v>389</v>
      </c>
      <c r="H18" s="101">
        <v>413</v>
      </c>
      <c r="I18" s="101"/>
      <c r="J18" s="101"/>
      <c r="K18" s="101"/>
      <c r="L18" s="102"/>
      <c r="M18" s="99">
        <f t="shared" si="0"/>
        <v>2430</v>
      </c>
      <c r="N18" s="100">
        <v>1</v>
      </c>
      <c r="O18" s="100">
        <v>7</v>
      </c>
      <c r="P18" s="99">
        <v>-104</v>
      </c>
      <c r="Q18" s="100">
        <v>0</v>
      </c>
      <c r="T18" s="100">
        <v>1</v>
      </c>
    </row>
    <row r="19" spans="1:20" s="120" customFormat="1" ht="15.75">
      <c r="A19" s="120" t="s">
        <v>13</v>
      </c>
      <c r="B19" s="114" t="s">
        <v>177</v>
      </c>
      <c r="C19" s="114">
        <v>384</v>
      </c>
      <c r="D19" s="224">
        <v>452</v>
      </c>
      <c r="E19" s="114">
        <v>400</v>
      </c>
      <c r="F19" s="116"/>
      <c r="G19" s="116">
        <v>391</v>
      </c>
      <c r="H19" s="181">
        <v>429</v>
      </c>
      <c r="I19" s="116"/>
      <c r="J19" s="116">
        <v>424</v>
      </c>
      <c r="K19" s="116"/>
      <c r="L19" s="117"/>
      <c r="M19" s="132">
        <f t="shared" si="0"/>
        <v>2480</v>
      </c>
      <c r="N19" s="120">
        <v>2</v>
      </c>
      <c r="O19" s="120">
        <v>6</v>
      </c>
      <c r="P19" s="132">
        <v>-55</v>
      </c>
      <c r="Q19" s="120">
        <v>0</v>
      </c>
      <c r="T19" s="120">
        <v>1</v>
      </c>
    </row>
    <row r="20" spans="1:20" s="100" customFormat="1" ht="16.5" thickBot="1">
      <c r="A20" s="100" t="s">
        <v>14</v>
      </c>
      <c r="B20" s="96" t="s">
        <v>179</v>
      </c>
      <c r="C20" s="108"/>
      <c r="D20" s="236">
        <v>439</v>
      </c>
      <c r="E20" s="236">
        <v>440</v>
      </c>
      <c r="F20" s="236">
        <v>426</v>
      </c>
      <c r="G20" s="108">
        <v>385</v>
      </c>
      <c r="H20" s="236">
        <v>437</v>
      </c>
      <c r="I20" s="108"/>
      <c r="J20" s="236">
        <v>420</v>
      </c>
      <c r="K20" s="108"/>
      <c r="L20" s="109"/>
      <c r="M20" s="150">
        <f t="shared" si="0"/>
        <v>2547</v>
      </c>
      <c r="N20" s="145">
        <v>7</v>
      </c>
      <c r="O20" s="145">
        <v>1</v>
      </c>
      <c r="P20" s="150">
        <v>23</v>
      </c>
      <c r="Q20" s="145">
        <v>2</v>
      </c>
      <c r="R20" s="145">
        <v>1</v>
      </c>
      <c r="S20" s="145"/>
      <c r="T20" s="145"/>
    </row>
    <row r="21" spans="3:20" ht="16.5" thickTop="1">
      <c r="C21" s="6">
        <f>SUM(C6:C20)</f>
        <v>5726</v>
      </c>
      <c r="D21" s="6">
        <f aca="true" t="shared" si="1" ref="D21:L21">SUM(D6:D20)</f>
        <v>6538</v>
      </c>
      <c r="E21" s="6">
        <f t="shared" si="1"/>
        <v>5893</v>
      </c>
      <c r="F21" s="6">
        <f t="shared" si="1"/>
        <v>4885</v>
      </c>
      <c r="G21" s="6">
        <f t="shared" si="1"/>
        <v>3438</v>
      </c>
      <c r="H21" s="6">
        <f t="shared" si="1"/>
        <v>3904</v>
      </c>
      <c r="I21" s="6">
        <f t="shared" si="1"/>
        <v>833</v>
      </c>
      <c r="J21" s="6">
        <f t="shared" si="1"/>
        <v>5439</v>
      </c>
      <c r="K21" s="6">
        <f t="shared" si="1"/>
        <v>762</v>
      </c>
      <c r="L21" s="6">
        <f t="shared" si="1"/>
        <v>0</v>
      </c>
      <c r="N21" s="2">
        <f aca="true" t="shared" si="2" ref="N21:T21">SUM(N6:N20)</f>
        <v>51</v>
      </c>
      <c r="O21" s="2">
        <f t="shared" si="2"/>
        <v>69</v>
      </c>
      <c r="P21" s="2">
        <f t="shared" si="2"/>
        <v>-695</v>
      </c>
      <c r="Q21" s="2">
        <f t="shared" si="2"/>
        <v>8</v>
      </c>
      <c r="R21" s="2">
        <f t="shared" si="2"/>
        <v>4</v>
      </c>
      <c r="S21" s="2">
        <f t="shared" si="2"/>
        <v>0</v>
      </c>
      <c r="T21" s="2">
        <f t="shared" si="2"/>
        <v>11</v>
      </c>
    </row>
    <row r="22" spans="2:12" ht="15.75">
      <c r="B22" s="1" t="s">
        <v>194</v>
      </c>
      <c r="C22" s="6">
        <f>COUNT(C6:C20)</f>
        <v>14</v>
      </c>
      <c r="D22" s="6">
        <f aca="true" t="shared" si="3" ref="D22:L22">COUNT(D6:D20)</f>
        <v>15</v>
      </c>
      <c r="E22" s="6">
        <f t="shared" si="3"/>
        <v>14</v>
      </c>
      <c r="F22" s="6">
        <f t="shared" si="3"/>
        <v>12</v>
      </c>
      <c r="G22" s="6">
        <f t="shared" si="3"/>
        <v>9</v>
      </c>
      <c r="H22" s="6">
        <f t="shared" si="3"/>
        <v>9</v>
      </c>
      <c r="I22" s="6">
        <f t="shared" si="3"/>
        <v>2</v>
      </c>
      <c r="J22" s="6">
        <f t="shared" si="3"/>
        <v>13</v>
      </c>
      <c r="K22" s="6">
        <f t="shared" si="3"/>
        <v>2</v>
      </c>
      <c r="L22" s="6">
        <f t="shared" si="3"/>
        <v>0</v>
      </c>
    </row>
    <row r="23" spans="2:20" ht="31.5">
      <c r="B23" s="11" t="s">
        <v>112</v>
      </c>
      <c r="C23" s="16">
        <f>AVERAGE(C6:C20)</f>
        <v>409</v>
      </c>
      <c r="D23" s="16">
        <f>AVERAGE(D6:D20)</f>
        <v>435.8666666666667</v>
      </c>
      <c r="E23" s="16">
        <f>AVERAGE(E6:E20)</f>
        <v>420.92857142857144</v>
      </c>
      <c r="F23" s="16">
        <f>AVERAGE(F6:F20)</f>
        <v>407.0833333333333</v>
      </c>
      <c r="G23" s="16">
        <f>AVERAGE(G6:G20)</f>
        <v>382</v>
      </c>
      <c r="H23" s="16">
        <f>H21/H22</f>
        <v>433.77777777777777</v>
      </c>
      <c r="I23" s="16">
        <f>I21/I22</f>
        <v>416.5</v>
      </c>
      <c r="J23" s="16">
        <f>J21/J22</f>
        <v>418.38461538461536</v>
      </c>
      <c r="K23" s="16">
        <f>K21/K22</f>
        <v>381</v>
      </c>
      <c r="L23" s="16"/>
      <c r="M23" s="3" t="s">
        <v>27</v>
      </c>
      <c r="N23" s="308" t="s">
        <v>102</v>
      </c>
      <c r="O23" s="308"/>
      <c r="P23" s="3" t="s">
        <v>28</v>
      </c>
      <c r="Q23" s="10" t="s">
        <v>103</v>
      </c>
      <c r="S23" s="40" t="s">
        <v>111</v>
      </c>
      <c r="T23" s="40" t="s">
        <v>192</v>
      </c>
    </row>
    <row r="24" spans="13:20" ht="15.75">
      <c r="M24" s="6">
        <f>SUM(M6:M20)</f>
        <v>37418</v>
      </c>
      <c r="N24" s="1">
        <f>SUM(N6:N20)</f>
        <v>51</v>
      </c>
      <c r="O24" s="1">
        <f>SUM(O6:O20)</f>
        <v>69</v>
      </c>
      <c r="P24" s="1">
        <f>SUM(P6:P20)</f>
        <v>-695</v>
      </c>
      <c r="Q24" s="1">
        <f>SUM(Q6:Q20)</f>
        <v>8</v>
      </c>
      <c r="S24" s="2">
        <f>N24-O24</f>
        <v>-18</v>
      </c>
      <c r="T24" s="2">
        <f>SUM(R21:T21)</f>
        <v>15</v>
      </c>
    </row>
    <row r="25" spans="3:10" ht="15.75">
      <c r="C25" s="309" t="s">
        <v>33</v>
      </c>
      <c r="D25" s="309"/>
      <c r="F25" s="317" t="s">
        <v>117</v>
      </c>
      <c r="G25" s="317"/>
      <c r="I25" s="310" t="s">
        <v>118</v>
      </c>
      <c r="J25" s="310"/>
    </row>
    <row r="26" spans="1:20" ht="16.5" thickBot="1">
      <c r="A26" s="39"/>
      <c r="B26" s="39"/>
      <c r="C26" s="39"/>
      <c r="D26" s="39"/>
      <c r="E26" s="39"/>
      <c r="F26" s="6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62"/>
      <c r="S26" s="62"/>
      <c r="T26" s="62"/>
    </row>
    <row r="28" spans="2:20" ht="32.25" thickBot="1">
      <c r="B28" s="3" t="s">
        <v>22</v>
      </c>
      <c r="C28" s="8" t="s">
        <v>47</v>
      </c>
      <c r="D28" s="8" t="s">
        <v>48</v>
      </c>
      <c r="E28" s="8" t="s">
        <v>49</v>
      </c>
      <c r="F28" s="8" t="s">
        <v>50</v>
      </c>
      <c r="G28" s="8" t="s">
        <v>51</v>
      </c>
      <c r="H28" s="8" t="s">
        <v>235</v>
      </c>
      <c r="I28" s="8" t="s">
        <v>105</v>
      </c>
      <c r="J28" s="8" t="s">
        <v>245</v>
      </c>
      <c r="K28" s="8" t="s">
        <v>284</v>
      </c>
      <c r="L28" s="8"/>
      <c r="M28" s="3" t="s">
        <v>27</v>
      </c>
      <c r="N28" s="3" t="s">
        <v>258</v>
      </c>
      <c r="O28" s="3" t="s">
        <v>26</v>
      </c>
      <c r="P28" s="3" t="s">
        <v>28</v>
      </c>
      <c r="Q28" s="10" t="s">
        <v>101</v>
      </c>
      <c r="R28" s="2" t="s">
        <v>162</v>
      </c>
      <c r="S28" s="2" t="s">
        <v>163</v>
      </c>
      <c r="T28" s="2" t="s">
        <v>164</v>
      </c>
    </row>
    <row r="29" spans="1:20" s="204" customFormat="1" ht="15.75">
      <c r="A29" s="204" t="s">
        <v>286</v>
      </c>
      <c r="B29" s="204" t="s">
        <v>288</v>
      </c>
      <c r="D29" s="224">
        <v>443</v>
      </c>
      <c r="E29" s="224">
        <v>440</v>
      </c>
      <c r="F29" s="220"/>
      <c r="G29" s="220">
        <v>397</v>
      </c>
      <c r="H29" s="224">
        <v>444</v>
      </c>
      <c r="I29" s="220"/>
      <c r="J29" s="220">
        <v>406</v>
      </c>
      <c r="K29" s="220">
        <v>431</v>
      </c>
      <c r="L29" s="220"/>
      <c r="M29" s="162">
        <f>SUM(C29:L29)</f>
        <v>2561</v>
      </c>
      <c r="N29" s="204">
        <v>3</v>
      </c>
      <c r="O29" s="204">
        <v>5</v>
      </c>
      <c r="P29" s="204">
        <v>-82</v>
      </c>
      <c r="Q29" s="204">
        <v>0</v>
      </c>
      <c r="T29" s="204">
        <v>1</v>
      </c>
    </row>
    <row r="30" spans="1:20" s="227" customFormat="1" ht="15.75">
      <c r="A30" s="227" t="s">
        <v>287</v>
      </c>
      <c r="B30" s="227" t="s">
        <v>219</v>
      </c>
      <c r="D30" s="230">
        <v>420</v>
      </c>
      <c r="E30" s="232">
        <v>422</v>
      </c>
      <c r="F30" s="228">
        <v>415</v>
      </c>
      <c r="G30" s="228"/>
      <c r="H30" s="228">
        <v>384</v>
      </c>
      <c r="I30" s="228"/>
      <c r="J30" s="225">
        <v>380</v>
      </c>
      <c r="K30" s="225">
        <v>392</v>
      </c>
      <c r="L30" s="225"/>
      <c r="M30" s="159">
        <f aca="true" t="shared" si="4" ref="M30:M43">SUM(C30:L30)</f>
        <v>2413</v>
      </c>
      <c r="N30" s="227">
        <v>2</v>
      </c>
      <c r="O30" s="227">
        <v>6</v>
      </c>
      <c r="P30" s="227">
        <v>-160</v>
      </c>
      <c r="Q30" s="227">
        <v>0</v>
      </c>
      <c r="T30" s="227">
        <v>1</v>
      </c>
    </row>
    <row r="31" spans="1:20" s="204" customFormat="1" ht="15.75">
      <c r="A31" s="204" t="s">
        <v>136</v>
      </c>
      <c r="B31" s="204" t="s">
        <v>23</v>
      </c>
      <c r="C31" s="204">
        <v>411</v>
      </c>
      <c r="D31" s="224">
        <v>431</v>
      </c>
      <c r="E31" s="220"/>
      <c r="F31" s="220">
        <v>366</v>
      </c>
      <c r="G31" s="220"/>
      <c r="H31" s="220"/>
      <c r="I31" s="220">
        <v>376</v>
      </c>
      <c r="J31" s="224">
        <v>421</v>
      </c>
      <c r="K31" s="220">
        <v>380</v>
      </c>
      <c r="L31" s="220"/>
      <c r="M31" s="162">
        <f t="shared" si="4"/>
        <v>2385</v>
      </c>
      <c r="N31" s="204">
        <v>2</v>
      </c>
      <c r="O31" s="204">
        <v>6</v>
      </c>
      <c r="P31" s="204">
        <f>M31-2635</f>
        <v>-250</v>
      </c>
      <c r="Q31" s="204">
        <v>0</v>
      </c>
      <c r="T31" s="204">
        <v>1</v>
      </c>
    </row>
    <row r="32" spans="1:20" s="227" customFormat="1" ht="15.75">
      <c r="A32" s="227" t="s">
        <v>137</v>
      </c>
      <c r="B32" s="227" t="s">
        <v>180</v>
      </c>
      <c r="C32" s="227">
        <v>363</v>
      </c>
      <c r="D32" s="225">
        <v>391</v>
      </c>
      <c r="E32" s="232">
        <v>442</v>
      </c>
      <c r="F32" s="225"/>
      <c r="G32" s="225">
        <v>391</v>
      </c>
      <c r="H32" s="232">
        <v>421</v>
      </c>
      <c r="I32" s="225"/>
      <c r="J32" s="232">
        <v>433</v>
      </c>
      <c r="K32" s="225"/>
      <c r="L32" s="225"/>
      <c r="M32" s="159">
        <f t="shared" si="4"/>
        <v>2441</v>
      </c>
      <c r="N32" s="227">
        <v>3</v>
      </c>
      <c r="O32" s="227">
        <v>5</v>
      </c>
      <c r="P32" s="227">
        <v>-92</v>
      </c>
      <c r="Q32" s="227">
        <v>0</v>
      </c>
      <c r="T32" s="227">
        <v>1</v>
      </c>
    </row>
    <row r="33" spans="1:20" s="204" customFormat="1" ht="15.75">
      <c r="A33" s="204" t="s">
        <v>138</v>
      </c>
      <c r="B33" s="220" t="s">
        <v>17</v>
      </c>
      <c r="D33" s="224">
        <v>428</v>
      </c>
      <c r="E33" s="224">
        <v>428</v>
      </c>
      <c r="F33" s="220"/>
      <c r="G33" s="220">
        <v>393</v>
      </c>
      <c r="H33" s="220"/>
      <c r="I33" s="220">
        <v>373</v>
      </c>
      <c r="J33" s="224">
        <v>438</v>
      </c>
      <c r="K33" s="220">
        <v>400</v>
      </c>
      <c r="L33" s="220"/>
      <c r="M33" s="162">
        <f t="shared" si="4"/>
        <v>2460</v>
      </c>
      <c r="N33" s="204">
        <v>3</v>
      </c>
      <c r="O33" s="204">
        <v>5</v>
      </c>
      <c r="P33" s="204">
        <v>-181</v>
      </c>
      <c r="Q33" s="204">
        <v>0</v>
      </c>
      <c r="T33" s="204">
        <v>1</v>
      </c>
    </row>
    <row r="34" spans="1:20" s="227" customFormat="1" ht="15.75">
      <c r="A34" s="227" t="s">
        <v>139</v>
      </c>
      <c r="B34" s="225" t="s">
        <v>178</v>
      </c>
      <c r="C34" s="227">
        <v>406</v>
      </c>
      <c r="D34" s="232">
        <v>416</v>
      </c>
      <c r="E34" s="225">
        <v>389</v>
      </c>
      <c r="F34" s="225">
        <v>402</v>
      </c>
      <c r="G34" s="225"/>
      <c r="H34" s="232">
        <v>454</v>
      </c>
      <c r="I34" s="225"/>
      <c r="J34" s="225"/>
      <c r="K34" s="232">
        <v>424</v>
      </c>
      <c r="L34" s="225"/>
      <c r="M34" s="159">
        <f t="shared" si="4"/>
        <v>2491</v>
      </c>
      <c r="N34" s="227">
        <v>3</v>
      </c>
      <c r="O34" s="227">
        <v>5</v>
      </c>
      <c r="P34" s="227">
        <v>-26</v>
      </c>
      <c r="Q34" s="227">
        <v>0</v>
      </c>
      <c r="T34" s="227">
        <v>1</v>
      </c>
    </row>
    <row r="35" spans="1:18" s="204" customFormat="1" ht="15.75">
      <c r="A35" s="204" t="s">
        <v>140</v>
      </c>
      <c r="B35" s="204" t="s">
        <v>259</v>
      </c>
      <c r="C35" s="204">
        <v>397</v>
      </c>
      <c r="D35" s="224">
        <v>456</v>
      </c>
      <c r="E35" s="224">
        <v>448</v>
      </c>
      <c r="F35" s="220"/>
      <c r="G35" s="220">
        <v>395</v>
      </c>
      <c r="H35" s="220"/>
      <c r="I35" s="220"/>
      <c r="J35" s="224">
        <v>408</v>
      </c>
      <c r="K35" s="220">
        <v>391</v>
      </c>
      <c r="L35" s="220"/>
      <c r="M35" s="162">
        <f t="shared" si="4"/>
        <v>2495</v>
      </c>
      <c r="N35" s="204">
        <v>5</v>
      </c>
      <c r="O35" s="204">
        <v>3</v>
      </c>
      <c r="P35" s="204">
        <v>39</v>
      </c>
      <c r="Q35" s="204">
        <v>2</v>
      </c>
      <c r="R35" s="204">
        <v>1</v>
      </c>
    </row>
    <row r="36" spans="1:18" s="227" customFormat="1" ht="15.75">
      <c r="A36" s="227" t="s">
        <v>141</v>
      </c>
      <c r="B36" s="227" t="s">
        <v>20</v>
      </c>
      <c r="C36" s="227">
        <v>411</v>
      </c>
      <c r="D36" s="230">
        <v>450</v>
      </c>
      <c r="E36" s="230">
        <v>442</v>
      </c>
      <c r="F36" s="230">
        <v>425</v>
      </c>
      <c r="G36" s="228"/>
      <c r="H36" s="230">
        <v>433</v>
      </c>
      <c r="I36" s="228"/>
      <c r="J36" s="228">
        <v>423</v>
      </c>
      <c r="K36" s="228"/>
      <c r="L36" s="228"/>
      <c r="M36" s="144">
        <f t="shared" si="4"/>
        <v>2584</v>
      </c>
      <c r="N36" s="227">
        <v>6</v>
      </c>
      <c r="O36" s="227">
        <v>2</v>
      </c>
      <c r="P36" s="227">
        <v>108</v>
      </c>
      <c r="Q36" s="227">
        <v>2</v>
      </c>
      <c r="R36" s="227">
        <v>1</v>
      </c>
    </row>
    <row r="37" spans="1:20" s="204" customFormat="1" ht="15.75">
      <c r="A37" s="204" t="s">
        <v>142</v>
      </c>
      <c r="B37" s="204" t="s">
        <v>179</v>
      </c>
      <c r="D37" s="116">
        <v>404</v>
      </c>
      <c r="E37" s="181">
        <v>432</v>
      </c>
      <c r="F37" s="116">
        <v>361</v>
      </c>
      <c r="G37" s="116">
        <v>394</v>
      </c>
      <c r="H37" s="116"/>
      <c r="I37" s="116"/>
      <c r="J37" s="116">
        <v>424</v>
      </c>
      <c r="K37" s="116">
        <v>425</v>
      </c>
      <c r="L37" s="116"/>
      <c r="M37" s="162">
        <f t="shared" si="4"/>
        <v>2440</v>
      </c>
      <c r="N37" s="204">
        <v>1</v>
      </c>
      <c r="O37" s="204">
        <v>7</v>
      </c>
      <c r="P37" s="204">
        <v>-245</v>
      </c>
      <c r="Q37" s="204">
        <v>0</v>
      </c>
      <c r="T37" s="204">
        <v>1</v>
      </c>
    </row>
    <row r="38" spans="1:20" s="227" customFormat="1" ht="15.75">
      <c r="A38" s="227" t="s">
        <v>143</v>
      </c>
      <c r="B38" s="227" t="s">
        <v>177</v>
      </c>
      <c r="C38" s="232">
        <v>431</v>
      </c>
      <c r="D38" s="230">
        <v>447</v>
      </c>
      <c r="E38" s="228">
        <v>385</v>
      </c>
      <c r="F38" s="228"/>
      <c r="G38" s="228"/>
      <c r="H38" s="228">
        <v>416</v>
      </c>
      <c r="I38" s="228"/>
      <c r="J38" s="228">
        <v>431</v>
      </c>
      <c r="K38" s="230">
        <v>437</v>
      </c>
      <c r="L38" s="228"/>
      <c r="M38" s="144">
        <f t="shared" si="4"/>
        <v>2547</v>
      </c>
      <c r="N38" s="227">
        <v>3</v>
      </c>
      <c r="O38" s="227">
        <v>5</v>
      </c>
      <c r="P38" s="227">
        <v>-15</v>
      </c>
      <c r="Q38" s="227">
        <v>0</v>
      </c>
      <c r="T38" s="227">
        <v>1</v>
      </c>
    </row>
    <row r="39" spans="1:20" s="204" customFormat="1" ht="15.75">
      <c r="A39" s="204" t="s">
        <v>144</v>
      </c>
      <c r="B39" s="204" t="s">
        <v>15</v>
      </c>
      <c r="C39" s="204">
        <v>392</v>
      </c>
      <c r="D39" s="224">
        <v>436</v>
      </c>
      <c r="E39" s="224">
        <v>452</v>
      </c>
      <c r="F39" s="220"/>
      <c r="G39" s="220">
        <v>408</v>
      </c>
      <c r="H39" s="220"/>
      <c r="I39" s="220"/>
      <c r="J39" s="220">
        <v>399</v>
      </c>
      <c r="K39" s="220">
        <v>424</v>
      </c>
      <c r="L39" s="220"/>
      <c r="M39" s="162">
        <f t="shared" si="4"/>
        <v>2511</v>
      </c>
      <c r="N39" s="204">
        <v>2</v>
      </c>
      <c r="O39" s="204">
        <v>6</v>
      </c>
      <c r="P39" s="204">
        <v>-130</v>
      </c>
      <c r="Q39" s="204">
        <v>0</v>
      </c>
      <c r="T39" s="204">
        <v>1</v>
      </c>
    </row>
    <row r="40" spans="1:20" s="227" customFormat="1" ht="15.75">
      <c r="A40" s="227" t="s">
        <v>145</v>
      </c>
      <c r="B40" s="228" t="s">
        <v>218</v>
      </c>
      <c r="D40" s="225">
        <v>406</v>
      </c>
      <c r="E40" s="232">
        <v>432</v>
      </c>
      <c r="F40" s="225">
        <v>387</v>
      </c>
      <c r="G40" s="232">
        <v>455</v>
      </c>
      <c r="H40" s="225">
        <v>407</v>
      </c>
      <c r="I40" s="225"/>
      <c r="J40" s="225"/>
      <c r="K40" s="225">
        <v>414</v>
      </c>
      <c r="L40" s="225"/>
      <c r="M40" s="159">
        <f t="shared" si="4"/>
        <v>2501</v>
      </c>
      <c r="N40" s="227">
        <v>2</v>
      </c>
      <c r="O40" s="227">
        <v>6</v>
      </c>
      <c r="P40" s="227">
        <v>-120</v>
      </c>
      <c r="Q40" s="227">
        <v>0</v>
      </c>
      <c r="T40" s="227">
        <v>1</v>
      </c>
    </row>
    <row r="41" spans="1:20" s="227" customFormat="1" ht="15.75">
      <c r="A41" s="227" t="s">
        <v>146</v>
      </c>
      <c r="B41" s="227" t="s">
        <v>18</v>
      </c>
      <c r="D41" s="232">
        <v>469</v>
      </c>
      <c r="E41" s="232">
        <v>452</v>
      </c>
      <c r="F41" s="225"/>
      <c r="G41" s="232">
        <v>431</v>
      </c>
      <c r="H41" s="225">
        <v>404</v>
      </c>
      <c r="I41" s="225"/>
      <c r="J41" s="225">
        <v>422</v>
      </c>
      <c r="K41" s="225">
        <v>382</v>
      </c>
      <c r="L41" s="225"/>
      <c r="M41" s="159">
        <f t="shared" si="4"/>
        <v>2560</v>
      </c>
      <c r="N41" s="227">
        <v>3</v>
      </c>
      <c r="O41" s="227">
        <v>5</v>
      </c>
      <c r="P41" s="227">
        <v>-2</v>
      </c>
      <c r="Q41" s="227">
        <v>0</v>
      </c>
      <c r="T41" s="227">
        <v>1</v>
      </c>
    </row>
    <row r="42" spans="1:18" s="204" customFormat="1" ht="15.75">
      <c r="A42" s="204" t="s">
        <v>147</v>
      </c>
      <c r="B42" s="220" t="s">
        <v>257</v>
      </c>
      <c r="D42" s="224">
        <v>413</v>
      </c>
      <c r="E42" s="224">
        <v>434</v>
      </c>
      <c r="F42" s="220">
        <v>393</v>
      </c>
      <c r="G42" s="220">
        <v>408</v>
      </c>
      <c r="H42" s="224">
        <v>489</v>
      </c>
      <c r="I42" s="220"/>
      <c r="J42" s="220">
        <v>367</v>
      </c>
      <c r="K42" s="220"/>
      <c r="L42" s="220"/>
      <c r="M42" s="162">
        <f t="shared" si="4"/>
        <v>2504</v>
      </c>
      <c r="N42" s="204">
        <v>5</v>
      </c>
      <c r="O42" s="204">
        <v>3</v>
      </c>
      <c r="P42" s="204">
        <v>3</v>
      </c>
      <c r="Q42" s="204">
        <v>2</v>
      </c>
      <c r="R42" s="204">
        <v>1</v>
      </c>
    </row>
    <row r="43" spans="1:18" s="227" customFormat="1" ht="16.5" thickBot="1">
      <c r="A43" s="227" t="s">
        <v>148</v>
      </c>
      <c r="B43" s="225" t="s">
        <v>19</v>
      </c>
      <c r="C43" s="145">
        <v>407</v>
      </c>
      <c r="D43" s="236">
        <v>477</v>
      </c>
      <c r="E43" s="236">
        <v>468</v>
      </c>
      <c r="F43" s="108">
        <v>407</v>
      </c>
      <c r="G43" s="108"/>
      <c r="H43" s="236">
        <v>417</v>
      </c>
      <c r="I43" s="108"/>
      <c r="J43" s="108"/>
      <c r="K43" s="108">
        <v>409</v>
      </c>
      <c r="L43" s="109"/>
      <c r="M43" s="159">
        <f t="shared" si="4"/>
        <v>2585</v>
      </c>
      <c r="N43" s="227">
        <v>5</v>
      </c>
      <c r="O43" s="227">
        <v>3</v>
      </c>
      <c r="P43" s="227">
        <v>88</v>
      </c>
      <c r="Q43" s="227">
        <v>2</v>
      </c>
      <c r="R43" s="227">
        <v>1</v>
      </c>
    </row>
    <row r="44" spans="3:20" ht="16.5" thickTop="1">
      <c r="C44" s="38">
        <f>SUM(C29:C43)</f>
        <v>3218</v>
      </c>
      <c r="D44" s="38">
        <f>SUM(D29:D43)</f>
        <v>6487</v>
      </c>
      <c r="E44" s="38">
        <f>SUM(E29:E43)</f>
        <v>6066</v>
      </c>
      <c r="F44" s="38">
        <f>SUM(F29:F43)</f>
        <v>3156</v>
      </c>
      <c r="G44" s="6">
        <f>SUM(G29)+SUM(G31:G43)</f>
        <v>3672</v>
      </c>
      <c r="H44" s="38">
        <f>SUM(H29:H43)</f>
        <v>4269</v>
      </c>
      <c r="I44" s="6">
        <f>SUM(I29)+SUM(I31:I43)</f>
        <v>749</v>
      </c>
      <c r="J44" s="38">
        <f>SUM(J29:J43)</f>
        <v>4952</v>
      </c>
      <c r="K44" s="38">
        <f>SUM(K29:K43)</f>
        <v>4909</v>
      </c>
      <c r="L44" s="38"/>
      <c r="N44" s="1">
        <f>SUM(N29:N43)</f>
        <v>48</v>
      </c>
      <c r="O44" s="1">
        <f>SUM(O29:O43)</f>
        <v>72</v>
      </c>
      <c r="P44" s="1">
        <f>SUM(P29:P43)</f>
        <v>-1065</v>
      </c>
      <c r="Q44" s="1">
        <f>SUM(Q29:Q43)</f>
        <v>8</v>
      </c>
      <c r="R44" s="1">
        <f>SUM(R29:R43)+R21</f>
        <v>8</v>
      </c>
      <c r="S44" s="1">
        <f>SUM(S29:S43)+S21</f>
        <v>0</v>
      </c>
      <c r="T44" s="1">
        <f>SUM(T29:T43)+T21</f>
        <v>22</v>
      </c>
    </row>
    <row r="45" spans="2:12" ht="15.75">
      <c r="B45" s="36" t="s">
        <v>213</v>
      </c>
      <c r="C45" s="294">
        <f>COUNT(C29:C43)</f>
        <v>8</v>
      </c>
      <c r="D45" s="294">
        <f>COUNT(D29:D43)</f>
        <v>15</v>
      </c>
      <c r="E45" s="294">
        <f>COUNT(E29:E43)</f>
        <v>14</v>
      </c>
      <c r="F45" s="294">
        <f>COUNT(F29:F43)</f>
        <v>8</v>
      </c>
      <c r="G45" s="295">
        <f>COUNT(G29)+COUNT(G31:G43)</f>
        <v>9</v>
      </c>
      <c r="H45" s="294">
        <f>COUNT(H29:H43)</f>
        <v>10</v>
      </c>
      <c r="I45" s="295">
        <f>COUNT(I29)+COUNT(I31:I43)</f>
        <v>2</v>
      </c>
      <c r="J45" s="294">
        <f>COUNT(J29:J43)</f>
        <v>12</v>
      </c>
      <c r="K45" s="294">
        <f>COUNT(K29:K43)</f>
        <v>12</v>
      </c>
      <c r="L45" s="16"/>
    </row>
    <row r="46" spans="2:20" ht="31.5">
      <c r="B46" s="11" t="s">
        <v>212</v>
      </c>
      <c r="C46" s="16">
        <f aca="true" t="shared" si="5" ref="C46:K46">C44/C45</f>
        <v>402.25</v>
      </c>
      <c r="D46" s="16">
        <f t="shared" si="5"/>
        <v>432.46666666666664</v>
      </c>
      <c r="E46" s="16">
        <f t="shared" si="5"/>
        <v>433.2857142857143</v>
      </c>
      <c r="F46" s="16">
        <f t="shared" si="5"/>
        <v>394.5</v>
      </c>
      <c r="G46" s="16">
        <f t="shared" si="5"/>
        <v>408</v>
      </c>
      <c r="H46" s="16">
        <f t="shared" si="5"/>
        <v>426.9</v>
      </c>
      <c r="I46" s="16">
        <f t="shared" si="5"/>
        <v>374.5</v>
      </c>
      <c r="J46" s="16">
        <f t="shared" si="5"/>
        <v>412.6666666666667</v>
      </c>
      <c r="K46" s="16">
        <f t="shared" si="5"/>
        <v>409.0833333333333</v>
      </c>
      <c r="L46" s="16"/>
      <c r="M46" s="3" t="s">
        <v>27</v>
      </c>
      <c r="N46" s="308" t="s">
        <v>102</v>
      </c>
      <c r="O46" s="308"/>
      <c r="P46" s="3" t="s">
        <v>28</v>
      </c>
      <c r="Q46" s="10" t="s">
        <v>103</v>
      </c>
      <c r="S46" s="40" t="s">
        <v>111</v>
      </c>
      <c r="T46" s="40" t="s">
        <v>192</v>
      </c>
    </row>
    <row r="47" spans="13:20" ht="15.75">
      <c r="M47" s="6">
        <f>SUM(M29:M43)+M24</f>
        <v>74896</v>
      </c>
      <c r="N47" s="6">
        <f>SUM(N29:N43)+N24</f>
        <v>99</v>
      </c>
      <c r="O47" s="6">
        <f>SUM(O29:O43)+O24</f>
        <v>141</v>
      </c>
      <c r="P47" s="6">
        <f>SUM(P29:P43)+P24</f>
        <v>-1760</v>
      </c>
      <c r="Q47" s="6">
        <f>SUM(Q29:Q43)+Q24</f>
        <v>16</v>
      </c>
      <c r="S47" s="2">
        <f>N47-O47</f>
        <v>-42</v>
      </c>
      <c r="T47" s="2">
        <f>SUM(R44:T44)</f>
        <v>30</v>
      </c>
    </row>
    <row r="49" spans="13:14" ht="15.75">
      <c r="M49" s="1" t="s">
        <v>113</v>
      </c>
      <c r="N49" s="18">
        <f>M47/T47</f>
        <v>2496.5333333333333</v>
      </c>
    </row>
  </sheetData>
  <sheetProtection/>
  <mergeCells count="11">
    <mergeCell ref="N23:O23"/>
    <mergeCell ref="F25:G25"/>
    <mergeCell ref="E1:F1"/>
    <mergeCell ref="H1:I1"/>
    <mergeCell ref="K1:L1"/>
    <mergeCell ref="K2:L2"/>
    <mergeCell ref="N46:O46"/>
    <mergeCell ref="I25:J25"/>
    <mergeCell ref="C4:L4"/>
    <mergeCell ref="N4:O4"/>
    <mergeCell ref="C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U50"/>
  <sheetViews>
    <sheetView zoomScale="90" zoomScaleNormal="90" zoomScalePageLayoutView="0" workbookViewId="0" topLeftCell="A24">
      <selection activeCell="E48" sqref="E48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9.875" style="1" customWidth="1"/>
    <col min="4" max="5" width="8.125" style="1" customWidth="1"/>
    <col min="6" max="6" width="13.75390625" style="1" customWidth="1"/>
    <col min="7" max="7" width="8.625" style="1" customWidth="1"/>
    <col min="8" max="8" width="10.75390625" style="1" customWidth="1"/>
    <col min="9" max="9" width="10.625" style="1" customWidth="1"/>
    <col min="10" max="10" width="10.25390625" style="1" customWidth="1"/>
    <col min="11" max="12" width="12.375" style="1" customWidth="1"/>
    <col min="13" max="13" width="15.625" style="1" bestFit="1" customWidth="1"/>
    <col min="14" max="14" width="18.375" style="1" bestFit="1" customWidth="1"/>
    <col min="15" max="15" width="14.25390625" style="1" customWidth="1"/>
    <col min="16" max="16" width="10.375" style="1" customWidth="1"/>
    <col min="17" max="17" width="13.375" style="1" customWidth="1"/>
    <col min="18" max="18" width="11.00390625" style="1" customWidth="1"/>
    <col min="19" max="19" width="9.25390625" style="0" bestFit="1" customWidth="1"/>
    <col min="20" max="20" width="11.125" style="0" customWidth="1"/>
    <col min="21" max="21" width="11.25390625" style="0" customWidth="1"/>
  </cols>
  <sheetData>
    <row r="1" spans="1:15" ht="15.75">
      <c r="A1" s="27" t="s">
        <v>125</v>
      </c>
      <c r="B1" s="28"/>
      <c r="C1" s="28" t="s">
        <v>131</v>
      </c>
      <c r="D1" s="28" t="s">
        <v>126</v>
      </c>
      <c r="E1" s="28"/>
      <c r="F1" s="306" t="s">
        <v>127</v>
      </c>
      <c r="G1" s="306"/>
      <c r="I1" s="308" t="s">
        <v>134</v>
      </c>
      <c r="J1" s="308"/>
      <c r="K1" s="3" t="s">
        <v>135</v>
      </c>
      <c r="L1" s="3"/>
      <c r="M1" s="13" t="s">
        <v>111</v>
      </c>
      <c r="N1" s="1" t="s">
        <v>113</v>
      </c>
      <c r="O1" s="18">
        <f>N24/U24</f>
        <v>2422.4666666666667</v>
      </c>
    </row>
    <row r="2" spans="9:15" ht="15.75">
      <c r="I2" s="1">
        <f>O24+O45</f>
        <v>79</v>
      </c>
      <c r="J2" s="1">
        <f>P24+P45</f>
        <v>161</v>
      </c>
      <c r="K2" s="1">
        <f>R24+R45</f>
        <v>8</v>
      </c>
      <c r="M2" s="1">
        <f>I2-J2</f>
        <v>-82</v>
      </c>
      <c r="N2" s="1" t="s">
        <v>198</v>
      </c>
      <c r="O2" s="6">
        <f>N6+N8+N10+N12+N14+N15+N17+N19+N30+N32+N34+N36+N38+N40+N42</f>
        <v>36648</v>
      </c>
    </row>
    <row r="4" spans="3:21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O4" s="308" t="s">
        <v>25</v>
      </c>
      <c r="P4" s="308"/>
      <c r="S4" s="2"/>
      <c r="T4" s="2"/>
      <c r="U4" s="2"/>
    </row>
    <row r="5" spans="2:21" ht="37.5" customHeight="1" thickBot="1">
      <c r="B5" s="3" t="s">
        <v>22</v>
      </c>
      <c r="C5" s="8" t="s">
        <v>154</v>
      </c>
      <c r="D5" s="8" t="s">
        <v>155</v>
      </c>
      <c r="E5" s="8" t="s">
        <v>267</v>
      </c>
      <c r="F5" s="8" t="s">
        <v>156</v>
      </c>
      <c r="G5" s="8" t="s">
        <v>157</v>
      </c>
      <c r="H5" s="8" t="s">
        <v>158</v>
      </c>
      <c r="I5" s="8" t="s">
        <v>132</v>
      </c>
      <c r="J5" s="8" t="s">
        <v>168</v>
      </c>
      <c r="K5" s="8" t="s">
        <v>29</v>
      </c>
      <c r="L5" s="8" t="s">
        <v>109</v>
      </c>
      <c r="N5" s="11" t="s">
        <v>27</v>
      </c>
      <c r="O5" s="11" t="s">
        <v>257</v>
      </c>
      <c r="P5" s="11" t="s">
        <v>26</v>
      </c>
      <c r="Q5" s="11" t="s">
        <v>28</v>
      </c>
      <c r="R5" s="10" t="s">
        <v>101</v>
      </c>
      <c r="S5" s="2" t="s">
        <v>162</v>
      </c>
      <c r="T5" s="2" t="s">
        <v>163</v>
      </c>
      <c r="U5" s="2" t="s">
        <v>164</v>
      </c>
    </row>
    <row r="6" spans="1:21" s="115" customFormat="1" ht="15.75">
      <c r="A6" s="113" t="s">
        <v>0</v>
      </c>
      <c r="B6" s="114" t="s">
        <v>259</v>
      </c>
      <c r="C6" s="114">
        <v>410</v>
      </c>
      <c r="D6" s="114"/>
      <c r="E6" s="114">
        <v>367</v>
      </c>
      <c r="F6" s="114"/>
      <c r="G6" s="114">
        <v>363</v>
      </c>
      <c r="H6" s="177">
        <v>411</v>
      </c>
      <c r="I6" s="114"/>
      <c r="J6" s="114">
        <v>400</v>
      </c>
      <c r="K6" s="114"/>
      <c r="L6" s="177">
        <v>447</v>
      </c>
      <c r="M6" s="117"/>
      <c r="N6" s="118">
        <f aca="true" t="shared" si="0" ref="N6:N20">SUM(C6:M6)</f>
        <v>2398</v>
      </c>
      <c r="O6" s="113">
        <v>2</v>
      </c>
      <c r="P6" s="113">
        <v>6</v>
      </c>
      <c r="Q6" s="113">
        <v>-106</v>
      </c>
      <c r="R6" s="113">
        <v>0</v>
      </c>
      <c r="S6" s="119"/>
      <c r="T6" s="119"/>
      <c r="U6" s="119">
        <v>1</v>
      </c>
    </row>
    <row r="7" spans="1:21" s="97" customFormat="1" ht="15.75">
      <c r="A7" s="95" t="s">
        <v>1</v>
      </c>
      <c r="B7" s="96" t="s">
        <v>178</v>
      </c>
      <c r="C7" s="96">
        <v>405</v>
      </c>
      <c r="D7" s="96">
        <v>369</v>
      </c>
      <c r="E7" s="96"/>
      <c r="F7" s="179">
        <v>414</v>
      </c>
      <c r="G7" s="96">
        <v>391</v>
      </c>
      <c r="H7" s="96">
        <v>344</v>
      </c>
      <c r="I7" s="96"/>
      <c r="J7" s="179">
        <v>443</v>
      </c>
      <c r="K7" s="96"/>
      <c r="L7" s="96"/>
      <c r="M7" s="102"/>
      <c r="N7" s="103">
        <f t="shared" si="0"/>
        <v>2366</v>
      </c>
      <c r="O7" s="95">
        <v>2</v>
      </c>
      <c r="P7" s="95">
        <v>6</v>
      </c>
      <c r="Q7" s="95">
        <v>-136</v>
      </c>
      <c r="R7" s="95">
        <v>0</v>
      </c>
      <c r="S7" s="104"/>
      <c r="T7" s="104"/>
      <c r="U7" s="104">
        <v>1</v>
      </c>
    </row>
    <row r="8" spans="1:21" s="115" customFormat="1" ht="15.75">
      <c r="A8" s="113" t="s">
        <v>2</v>
      </c>
      <c r="B8" s="120" t="s">
        <v>17</v>
      </c>
      <c r="C8" s="114"/>
      <c r="D8" s="114"/>
      <c r="E8" s="114">
        <v>367</v>
      </c>
      <c r="F8" s="114">
        <v>406</v>
      </c>
      <c r="G8" s="114">
        <v>423</v>
      </c>
      <c r="H8" s="114">
        <v>380</v>
      </c>
      <c r="I8" s="114"/>
      <c r="J8" s="177">
        <v>458</v>
      </c>
      <c r="K8" s="114"/>
      <c r="L8" s="177">
        <v>435</v>
      </c>
      <c r="M8" s="117"/>
      <c r="N8" s="118">
        <f t="shared" si="0"/>
        <v>2469</v>
      </c>
      <c r="O8" s="113">
        <v>2</v>
      </c>
      <c r="P8" s="113">
        <v>6</v>
      </c>
      <c r="Q8" s="118">
        <v>-141</v>
      </c>
      <c r="R8" s="113">
        <v>0</v>
      </c>
      <c r="S8" s="119"/>
      <c r="T8" s="119"/>
      <c r="U8" s="119">
        <v>1</v>
      </c>
    </row>
    <row r="9" spans="1:21" s="97" customFormat="1" ht="15.75">
      <c r="A9" s="95" t="s">
        <v>3</v>
      </c>
      <c r="B9" s="96" t="s">
        <v>180</v>
      </c>
      <c r="C9" s="96">
        <v>171</v>
      </c>
      <c r="D9" s="96"/>
      <c r="E9" s="96"/>
      <c r="F9" s="179">
        <v>422</v>
      </c>
      <c r="G9" s="96">
        <v>405</v>
      </c>
      <c r="H9" s="96">
        <v>361</v>
      </c>
      <c r="I9" s="96"/>
      <c r="J9" s="179">
        <v>415</v>
      </c>
      <c r="K9" s="96">
        <v>206</v>
      </c>
      <c r="L9" s="96">
        <v>411</v>
      </c>
      <c r="M9" s="102"/>
      <c r="N9" s="103">
        <f t="shared" si="0"/>
        <v>2391</v>
      </c>
      <c r="O9" s="95">
        <v>2</v>
      </c>
      <c r="P9" s="95">
        <v>6</v>
      </c>
      <c r="Q9" s="95">
        <v>-110</v>
      </c>
      <c r="R9" s="95">
        <v>0</v>
      </c>
      <c r="S9" s="104"/>
      <c r="T9" s="104"/>
      <c r="U9" s="104">
        <v>1</v>
      </c>
    </row>
    <row r="10" spans="1:21" s="115" customFormat="1" ht="15.75">
      <c r="A10" s="113" t="s">
        <v>4</v>
      </c>
      <c r="B10" s="120" t="s">
        <v>23</v>
      </c>
      <c r="C10" s="181">
        <v>426</v>
      </c>
      <c r="D10" s="116"/>
      <c r="E10" s="116"/>
      <c r="F10" s="116"/>
      <c r="G10" s="116">
        <v>418</v>
      </c>
      <c r="H10" s="116">
        <v>405</v>
      </c>
      <c r="I10" s="116"/>
      <c r="J10" s="116">
        <v>398</v>
      </c>
      <c r="K10" s="181">
        <v>436</v>
      </c>
      <c r="L10" s="116">
        <v>392</v>
      </c>
      <c r="M10" s="116"/>
      <c r="N10" s="118">
        <f t="shared" si="0"/>
        <v>2475</v>
      </c>
      <c r="O10" s="121">
        <v>2</v>
      </c>
      <c r="P10" s="121">
        <v>6</v>
      </c>
      <c r="Q10" s="122">
        <v>-162</v>
      </c>
      <c r="R10" s="121">
        <v>0</v>
      </c>
      <c r="S10" s="123"/>
      <c r="T10" s="123"/>
      <c r="U10" s="123">
        <v>1</v>
      </c>
    </row>
    <row r="11" spans="1:21" s="97" customFormat="1" ht="15.75">
      <c r="A11" s="95" t="s">
        <v>5</v>
      </c>
      <c r="B11" s="96" t="s">
        <v>219</v>
      </c>
      <c r="C11" s="96">
        <v>416</v>
      </c>
      <c r="D11" s="96">
        <v>346</v>
      </c>
      <c r="E11" s="96">
        <v>363</v>
      </c>
      <c r="F11" s="179">
        <v>438</v>
      </c>
      <c r="G11" s="96">
        <v>385</v>
      </c>
      <c r="H11" s="96">
        <v>392</v>
      </c>
      <c r="I11" s="96"/>
      <c r="J11" s="96"/>
      <c r="K11" s="96"/>
      <c r="L11" s="96"/>
      <c r="M11" s="102"/>
      <c r="N11" s="103">
        <f t="shared" si="0"/>
        <v>2340</v>
      </c>
      <c r="O11" s="95">
        <v>1</v>
      </c>
      <c r="P11" s="95">
        <v>7</v>
      </c>
      <c r="Q11" s="95">
        <v>-274</v>
      </c>
      <c r="R11" s="95">
        <v>0</v>
      </c>
      <c r="S11" s="104"/>
      <c r="T11" s="104"/>
      <c r="U11" s="104">
        <v>1</v>
      </c>
    </row>
    <row r="12" spans="1:21" s="115" customFormat="1" ht="15.75">
      <c r="A12" s="113" t="s">
        <v>6</v>
      </c>
      <c r="B12" s="120" t="s">
        <v>220</v>
      </c>
      <c r="C12" s="114">
        <v>408</v>
      </c>
      <c r="D12" s="114"/>
      <c r="E12" s="114"/>
      <c r="F12" s="177">
        <v>420</v>
      </c>
      <c r="G12" s="114">
        <v>413</v>
      </c>
      <c r="H12" s="114">
        <v>348</v>
      </c>
      <c r="I12" s="114"/>
      <c r="J12" s="177">
        <v>447</v>
      </c>
      <c r="K12" s="114"/>
      <c r="L12" s="114">
        <v>406</v>
      </c>
      <c r="M12" s="117"/>
      <c r="N12" s="118">
        <f t="shared" si="0"/>
        <v>2442</v>
      </c>
      <c r="O12" s="113">
        <v>2</v>
      </c>
      <c r="P12" s="113">
        <v>6</v>
      </c>
      <c r="Q12" s="113">
        <v>-81</v>
      </c>
      <c r="R12" s="113">
        <v>0</v>
      </c>
      <c r="S12" s="119"/>
      <c r="T12" s="119"/>
      <c r="U12" s="119">
        <v>1</v>
      </c>
    </row>
    <row r="13" spans="1:21" s="97" customFormat="1" ht="15.75">
      <c r="A13" s="95" t="s">
        <v>7</v>
      </c>
      <c r="B13" s="96" t="s">
        <v>19</v>
      </c>
      <c r="C13" s="96">
        <v>409</v>
      </c>
      <c r="D13" s="96"/>
      <c r="E13" s="96"/>
      <c r="F13" s="96">
        <v>390</v>
      </c>
      <c r="G13" s="179">
        <v>410</v>
      </c>
      <c r="H13" s="96">
        <v>382</v>
      </c>
      <c r="I13" s="96"/>
      <c r="J13" s="179">
        <v>435</v>
      </c>
      <c r="K13" s="96"/>
      <c r="L13" s="179">
        <v>412</v>
      </c>
      <c r="M13" s="102"/>
      <c r="N13" s="103">
        <f t="shared" si="0"/>
        <v>2438</v>
      </c>
      <c r="O13" s="95">
        <v>3</v>
      </c>
      <c r="P13" s="95">
        <v>5</v>
      </c>
      <c r="Q13" s="95">
        <v>-62</v>
      </c>
      <c r="R13" s="95">
        <v>0</v>
      </c>
      <c r="S13" s="104"/>
      <c r="T13" s="104"/>
      <c r="U13" s="104">
        <v>1</v>
      </c>
    </row>
    <row r="14" spans="1:21" s="115" customFormat="1" ht="15.75">
      <c r="A14" s="113" t="s">
        <v>8</v>
      </c>
      <c r="B14" s="114" t="s">
        <v>18</v>
      </c>
      <c r="C14" s="114">
        <v>411</v>
      </c>
      <c r="D14" s="114"/>
      <c r="E14" s="114"/>
      <c r="F14" s="114">
        <v>412</v>
      </c>
      <c r="G14" s="114">
        <v>386</v>
      </c>
      <c r="H14" s="114">
        <v>358</v>
      </c>
      <c r="I14" s="114"/>
      <c r="J14" s="114">
        <v>408</v>
      </c>
      <c r="K14" s="114"/>
      <c r="L14" s="177">
        <v>426</v>
      </c>
      <c r="M14" s="117"/>
      <c r="N14" s="118">
        <f t="shared" si="0"/>
        <v>2401</v>
      </c>
      <c r="O14" s="113">
        <v>1</v>
      </c>
      <c r="P14" s="113">
        <v>7</v>
      </c>
      <c r="Q14" s="118">
        <v>-202</v>
      </c>
      <c r="R14" s="113">
        <v>0</v>
      </c>
      <c r="S14" s="119"/>
      <c r="T14" s="119"/>
      <c r="U14" s="119">
        <v>1</v>
      </c>
    </row>
    <row r="15" spans="1:21" s="115" customFormat="1" ht="15.75">
      <c r="A15" s="113" t="s">
        <v>9</v>
      </c>
      <c r="B15" s="114" t="s">
        <v>258</v>
      </c>
      <c r="C15" s="224">
        <v>459</v>
      </c>
      <c r="D15" s="220"/>
      <c r="E15" s="220">
        <v>342</v>
      </c>
      <c r="F15" s="220">
        <v>420</v>
      </c>
      <c r="G15" s="220">
        <v>361</v>
      </c>
      <c r="H15" s="220">
        <v>375</v>
      </c>
      <c r="I15" s="220"/>
      <c r="J15" s="224">
        <v>434</v>
      </c>
      <c r="K15" s="220"/>
      <c r="L15" s="220"/>
      <c r="M15" s="221"/>
      <c r="N15" s="222">
        <v>2391</v>
      </c>
      <c r="O15" s="219">
        <v>2</v>
      </c>
      <c r="P15" s="219">
        <v>6</v>
      </c>
      <c r="Q15" s="222">
        <v>-131</v>
      </c>
      <c r="R15" s="219">
        <v>0</v>
      </c>
      <c r="S15" s="223"/>
      <c r="T15" s="223"/>
      <c r="U15" s="223">
        <v>1</v>
      </c>
    </row>
    <row r="16" spans="1:21" s="97" customFormat="1" ht="15.75">
      <c r="A16" s="95" t="s">
        <v>10</v>
      </c>
      <c r="B16" s="101" t="s">
        <v>218</v>
      </c>
      <c r="C16" s="96"/>
      <c r="D16" s="96">
        <v>368</v>
      </c>
      <c r="E16" s="96">
        <v>381</v>
      </c>
      <c r="F16" s="232">
        <v>425</v>
      </c>
      <c r="G16" s="96"/>
      <c r="H16" s="96">
        <v>367</v>
      </c>
      <c r="I16" s="96"/>
      <c r="J16" s="232">
        <v>448</v>
      </c>
      <c r="K16" s="232">
        <v>432</v>
      </c>
      <c r="L16" s="96"/>
      <c r="M16" s="102"/>
      <c r="N16" s="103">
        <f t="shared" si="0"/>
        <v>2421</v>
      </c>
      <c r="O16" s="95">
        <v>3</v>
      </c>
      <c r="P16" s="95">
        <v>5</v>
      </c>
      <c r="Q16" s="95">
        <v>-26</v>
      </c>
      <c r="R16" s="95">
        <v>0</v>
      </c>
      <c r="S16" s="104"/>
      <c r="T16" s="104"/>
      <c r="U16" s="104">
        <v>1</v>
      </c>
    </row>
    <row r="17" spans="1:21" s="115" customFormat="1" ht="15.75">
      <c r="A17" s="113" t="s">
        <v>11</v>
      </c>
      <c r="B17" s="120" t="s">
        <v>15</v>
      </c>
      <c r="C17" s="224">
        <v>432</v>
      </c>
      <c r="D17" s="114"/>
      <c r="E17" s="114">
        <v>345</v>
      </c>
      <c r="F17" s="224">
        <v>452</v>
      </c>
      <c r="G17" s="224">
        <v>450</v>
      </c>
      <c r="H17" s="114">
        <v>364</v>
      </c>
      <c r="I17" s="114"/>
      <c r="J17" s="114">
        <v>409</v>
      </c>
      <c r="K17" s="114"/>
      <c r="L17" s="114"/>
      <c r="M17" s="117"/>
      <c r="N17" s="118">
        <f t="shared" si="0"/>
        <v>2452</v>
      </c>
      <c r="O17" s="113">
        <v>3</v>
      </c>
      <c r="P17" s="113">
        <v>5</v>
      </c>
      <c r="Q17" s="118">
        <v>-17</v>
      </c>
      <c r="R17" s="113">
        <v>0</v>
      </c>
      <c r="S17" s="119"/>
      <c r="T17" s="119"/>
      <c r="U17" s="119">
        <v>1</v>
      </c>
    </row>
    <row r="18" spans="1:21" s="97" customFormat="1" ht="15.75">
      <c r="A18" s="95" t="s">
        <v>12</v>
      </c>
      <c r="B18" s="96" t="s">
        <v>177</v>
      </c>
      <c r="C18" s="96"/>
      <c r="D18" s="96"/>
      <c r="E18" s="96">
        <v>390</v>
      </c>
      <c r="F18" s="96">
        <v>408</v>
      </c>
      <c r="G18" s="232">
        <v>427</v>
      </c>
      <c r="H18" s="96"/>
      <c r="I18" s="96"/>
      <c r="J18" s="232">
        <v>438</v>
      </c>
      <c r="K18" s="232">
        <v>459</v>
      </c>
      <c r="L18" s="96">
        <v>395</v>
      </c>
      <c r="M18" s="102"/>
      <c r="N18" s="103">
        <f t="shared" si="0"/>
        <v>2517</v>
      </c>
      <c r="O18" s="95">
        <v>3</v>
      </c>
      <c r="P18" s="95">
        <v>5</v>
      </c>
      <c r="Q18" s="103">
        <v>-6</v>
      </c>
      <c r="R18" s="95">
        <v>0</v>
      </c>
      <c r="S18" s="104"/>
      <c r="T18" s="104"/>
      <c r="U18" s="104">
        <v>1</v>
      </c>
    </row>
    <row r="19" spans="1:21" s="115" customFormat="1" ht="15.75">
      <c r="A19" s="113" t="s">
        <v>13</v>
      </c>
      <c r="B19" s="114" t="s">
        <v>179</v>
      </c>
      <c r="C19" s="114">
        <v>390</v>
      </c>
      <c r="D19" s="114">
        <v>401</v>
      </c>
      <c r="E19" s="114">
        <v>338</v>
      </c>
      <c r="F19" s="224">
        <v>438</v>
      </c>
      <c r="G19" s="114"/>
      <c r="H19" s="114"/>
      <c r="I19" s="114"/>
      <c r="J19" s="224">
        <v>426</v>
      </c>
      <c r="K19" s="114"/>
      <c r="L19" s="114">
        <v>397</v>
      </c>
      <c r="M19" s="117"/>
      <c r="N19" s="118">
        <f t="shared" si="0"/>
        <v>2390</v>
      </c>
      <c r="O19" s="113">
        <v>2</v>
      </c>
      <c r="P19" s="113">
        <v>6</v>
      </c>
      <c r="Q19" s="118">
        <v>-288</v>
      </c>
      <c r="R19" s="113">
        <v>0</v>
      </c>
      <c r="S19" s="119"/>
      <c r="T19" s="119"/>
      <c r="U19" s="119">
        <v>1</v>
      </c>
    </row>
    <row r="20" spans="1:21" s="97" customFormat="1" ht="16.5" thickBot="1">
      <c r="A20" s="95" t="s">
        <v>14</v>
      </c>
      <c r="B20" s="96" t="s">
        <v>20</v>
      </c>
      <c r="C20" s="236">
        <v>421</v>
      </c>
      <c r="D20" s="108"/>
      <c r="E20" s="108">
        <v>377</v>
      </c>
      <c r="F20" s="236">
        <v>423</v>
      </c>
      <c r="G20" s="108"/>
      <c r="H20" s="108"/>
      <c r="I20" s="108"/>
      <c r="J20" s="108">
        <v>415</v>
      </c>
      <c r="K20" s="108">
        <v>411</v>
      </c>
      <c r="L20" s="108">
        <v>399</v>
      </c>
      <c r="M20" s="109"/>
      <c r="N20" s="103">
        <f t="shared" si="0"/>
        <v>2446</v>
      </c>
      <c r="O20" s="110">
        <v>4</v>
      </c>
      <c r="P20" s="110">
        <v>4</v>
      </c>
      <c r="Q20" s="111">
        <v>349</v>
      </c>
      <c r="R20" s="110">
        <v>1</v>
      </c>
      <c r="S20" s="112"/>
      <c r="T20" s="112">
        <v>1</v>
      </c>
      <c r="U20" s="112"/>
    </row>
    <row r="21" spans="3:21" ht="16.5" thickTop="1">
      <c r="C21" s="6">
        <f>SUM(C6:C8)+SUM(C10:C20)</f>
        <v>4587</v>
      </c>
      <c r="D21" s="6">
        <f aca="true" t="shared" si="1" ref="D21:M21">SUM(D6:D20)</f>
        <v>1484</v>
      </c>
      <c r="E21" s="6">
        <f t="shared" si="1"/>
        <v>3270</v>
      </c>
      <c r="F21" s="6">
        <f t="shared" si="1"/>
        <v>5468</v>
      </c>
      <c r="G21" s="6">
        <f t="shared" si="1"/>
        <v>4832</v>
      </c>
      <c r="H21" s="6">
        <f t="shared" si="1"/>
        <v>4487</v>
      </c>
      <c r="I21" s="6">
        <f t="shared" si="1"/>
        <v>0</v>
      </c>
      <c r="J21" s="6">
        <f t="shared" si="1"/>
        <v>5974</v>
      </c>
      <c r="K21" s="6">
        <f>SUM(K10:K20)</f>
        <v>1738</v>
      </c>
      <c r="L21" s="6">
        <f t="shared" si="1"/>
        <v>4120</v>
      </c>
      <c r="M21" s="6">
        <f t="shared" si="1"/>
        <v>0</v>
      </c>
      <c r="S21" s="2">
        <f>SUM(S6:S20)</f>
        <v>0</v>
      </c>
      <c r="T21" s="2">
        <f>SUM(T6:T20)</f>
        <v>1</v>
      </c>
      <c r="U21" s="2">
        <f>SUM(U6:U20)</f>
        <v>14</v>
      </c>
    </row>
    <row r="22" spans="2:13" ht="15.75">
      <c r="B22" s="1" t="s">
        <v>194</v>
      </c>
      <c r="C22" s="6">
        <f>COUNT(C6:C8)+COUNT(C10:C20)</f>
        <v>11</v>
      </c>
      <c r="D22" s="6">
        <f aca="true" t="shared" si="2" ref="D22:M22">COUNT(D6:D20)</f>
        <v>4</v>
      </c>
      <c r="E22" s="6">
        <f t="shared" si="2"/>
        <v>9</v>
      </c>
      <c r="F22" s="6">
        <f t="shared" si="2"/>
        <v>13</v>
      </c>
      <c r="G22" s="6">
        <f t="shared" si="2"/>
        <v>12</v>
      </c>
      <c r="H22" s="6">
        <f t="shared" si="2"/>
        <v>12</v>
      </c>
      <c r="I22" s="6">
        <f t="shared" si="2"/>
        <v>0</v>
      </c>
      <c r="J22" s="6">
        <f t="shared" si="2"/>
        <v>14</v>
      </c>
      <c r="K22" s="6">
        <f>COUNT(K10:K20)</f>
        <v>4</v>
      </c>
      <c r="L22" s="6">
        <f t="shared" si="2"/>
        <v>10</v>
      </c>
      <c r="M22" s="6">
        <f t="shared" si="2"/>
        <v>0</v>
      </c>
    </row>
    <row r="23" spans="2:21" ht="31.5">
      <c r="B23" s="11" t="s">
        <v>112</v>
      </c>
      <c r="C23" s="16">
        <f aca="true" t="shared" si="3" ref="C23:H23">C21/C22</f>
        <v>417</v>
      </c>
      <c r="D23" s="16">
        <f t="shared" si="3"/>
        <v>371</v>
      </c>
      <c r="E23" s="16">
        <f t="shared" si="3"/>
        <v>363.3333333333333</v>
      </c>
      <c r="F23" s="16">
        <f t="shared" si="3"/>
        <v>420.61538461538464</v>
      </c>
      <c r="G23" s="16">
        <f t="shared" si="3"/>
        <v>402.6666666666667</v>
      </c>
      <c r="H23" s="16">
        <f t="shared" si="3"/>
        <v>373.9166666666667</v>
      </c>
      <c r="I23" s="16"/>
      <c r="J23" s="16">
        <f>J21/J22</f>
        <v>426.7142857142857</v>
      </c>
      <c r="K23" s="16">
        <f>K21/K22</f>
        <v>434.5</v>
      </c>
      <c r="L23" s="16">
        <f>L21/L22</f>
        <v>412</v>
      </c>
      <c r="M23" s="16"/>
      <c r="N23" s="3" t="s">
        <v>27</v>
      </c>
      <c r="O23" s="308" t="s">
        <v>102</v>
      </c>
      <c r="P23" s="308"/>
      <c r="Q23" s="3" t="s">
        <v>28</v>
      </c>
      <c r="R23" s="10" t="s">
        <v>103</v>
      </c>
      <c r="T23" s="40" t="s">
        <v>111</v>
      </c>
      <c r="U23" s="40" t="s">
        <v>192</v>
      </c>
    </row>
    <row r="24" spans="14:21" ht="15.75">
      <c r="N24" s="6">
        <f>SUM(N6:N20)</f>
        <v>36337</v>
      </c>
      <c r="O24" s="1">
        <f>SUM(O6:O20)</f>
        <v>34</v>
      </c>
      <c r="P24" s="1">
        <f>SUM(P6:P20)</f>
        <v>86</v>
      </c>
      <c r="Q24" s="1">
        <f>SUM(Q6:Q20)</f>
        <v>-1393</v>
      </c>
      <c r="R24" s="1">
        <f>SUM(R6:R20)</f>
        <v>1</v>
      </c>
      <c r="T24" s="2">
        <f>O24-P24</f>
        <v>-52</v>
      </c>
      <c r="U24" s="2">
        <f>SUM(S21:U21)</f>
        <v>15</v>
      </c>
    </row>
    <row r="26" spans="3:10" ht="15.75">
      <c r="C26" s="309" t="s">
        <v>33</v>
      </c>
      <c r="D26" s="309"/>
      <c r="E26" s="9"/>
      <c r="F26" s="9"/>
      <c r="G26" s="19" t="s">
        <v>117</v>
      </c>
      <c r="I26" s="310" t="s">
        <v>118</v>
      </c>
      <c r="J26" s="310"/>
    </row>
    <row r="27" spans="1:21" ht="16.5" thickBo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62"/>
      <c r="T27" s="62"/>
      <c r="U27" s="62"/>
    </row>
    <row r="28" ht="15.75">
      <c r="H28" s="21"/>
    </row>
    <row r="29" spans="2:21" ht="37.5" customHeight="1" thickBot="1">
      <c r="B29" s="3" t="s">
        <v>22</v>
      </c>
      <c r="C29" s="8" t="s">
        <v>154</v>
      </c>
      <c r="D29" s="8" t="s">
        <v>155</v>
      </c>
      <c r="E29" s="8" t="s">
        <v>267</v>
      </c>
      <c r="F29" s="8" t="s">
        <v>156</v>
      </c>
      <c r="G29" s="8" t="s">
        <v>157</v>
      </c>
      <c r="H29" s="8" t="s">
        <v>158</v>
      </c>
      <c r="I29" s="8" t="s">
        <v>132</v>
      </c>
      <c r="J29" s="8" t="s">
        <v>168</v>
      </c>
      <c r="K29" s="8" t="s">
        <v>29</v>
      </c>
      <c r="L29" s="39"/>
      <c r="M29" s="8"/>
      <c r="N29" s="11" t="s">
        <v>27</v>
      </c>
      <c r="O29" s="11" t="s">
        <v>257</v>
      </c>
      <c r="P29" s="11" t="s">
        <v>26</v>
      </c>
      <c r="Q29" s="11" t="s">
        <v>28</v>
      </c>
      <c r="R29" s="10" t="s">
        <v>101</v>
      </c>
      <c r="S29" s="2" t="s">
        <v>162</v>
      </c>
      <c r="T29" s="2" t="s">
        <v>163</v>
      </c>
      <c r="U29" s="2" t="s">
        <v>164</v>
      </c>
    </row>
    <row r="30" spans="1:21" s="204" customFormat="1" ht="15.75">
      <c r="A30" s="204" t="s">
        <v>286</v>
      </c>
      <c r="B30" s="220" t="s">
        <v>19</v>
      </c>
      <c r="C30" s="224">
        <v>410</v>
      </c>
      <c r="D30" s="220">
        <v>397</v>
      </c>
      <c r="E30" s="220">
        <v>350</v>
      </c>
      <c r="F30" s="224">
        <v>422</v>
      </c>
      <c r="G30" s="220"/>
      <c r="H30" s="220"/>
      <c r="I30" s="220"/>
      <c r="J30" s="220">
        <v>394</v>
      </c>
      <c r="K30" s="224">
        <v>408</v>
      </c>
      <c r="L30" s="220"/>
      <c r="M30" s="220"/>
      <c r="N30" s="162">
        <f>SUM(C30:M30)</f>
        <v>2381</v>
      </c>
      <c r="O30" s="204">
        <v>3</v>
      </c>
      <c r="P30" s="204">
        <v>5</v>
      </c>
      <c r="Q30" s="204">
        <v>-29</v>
      </c>
      <c r="R30" s="204">
        <v>0</v>
      </c>
      <c r="U30" s="204">
        <v>1</v>
      </c>
    </row>
    <row r="31" spans="1:20" s="227" customFormat="1" ht="15.75">
      <c r="A31" s="227" t="s">
        <v>287</v>
      </c>
      <c r="B31" s="227" t="s">
        <v>21</v>
      </c>
      <c r="C31" s="232">
        <v>416</v>
      </c>
      <c r="D31" s="225">
        <v>396</v>
      </c>
      <c r="E31" s="225">
        <v>392</v>
      </c>
      <c r="F31" s="232">
        <v>442</v>
      </c>
      <c r="G31" s="225"/>
      <c r="H31" s="225"/>
      <c r="I31" s="225"/>
      <c r="J31" s="232">
        <v>444</v>
      </c>
      <c r="K31" s="232">
        <v>428</v>
      </c>
      <c r="L31" s="225"/>
      <c r="M31" s="225"/>
      <c r="N31" s="159">
        <f aca="true" t="shared" si="4" ref="N31:N44">SUM(C31:M31)</f>
        <v>2518</v>
      </c>
      <c r="O31" s="227">
        <v>4</v>
      </c>
      <c r="P31" s="227">
        <v>4</v>
      </c>
      <c r="Q31" s="227">
        <v>-9</v>
      </c>
      <c r="R31" s="227">
        <v>1</v>
      </c>
      <c r="T31" s="227">
        <v>1</v>
      </c>
    </row>
    <row r="32" spans="1:21" s="204" customFormat="1" ht="15.75">
      <c r="A32" s="204" t="s">
        <v>136</v>
      </c>
      <c r="B32" s="204" t="s">
        <v>219</v>
      </c>
      <c r="C32" s="224">
        <v>433</v>
      </c>
      <c r="D32" s="220">
        <v>385</v>
      </c>
      <c r="E32" s="220">
        <v>372</v>
      </c>
      <c r="F32" s="220">
        <v>396</v>
      </c>
      <c r="G32" s="220"/>
      <c r="H32" s="220"/>
      <c r="I32" s="220"/>
      <c r="J32" s="224">
        <v>481</v>
      </c>
      <c r="K32" s="224">
        <v>424</v>
      </c>
      <c r="L32" s="220"/>
      <c r="M32" s="220"/>
      <c r="N32" s="162">
        <f t="shared" si="4"/>
        <v>2491</v>
      </c>
      <c r="O32" s="204">
        <v>3</v>
      </c>
      <c r="P32" s="204">
        <v>5</v>
      </c>
      <c r="Q32" s="204">
        <v>-84</v>
      </c>
      <c r="R32" s="204">
        <v>0</v>
      </c>
      <c r="U32" s="204">
        <v>1</v>
      </c>
    </row>
    <row r="33" spans="1:21" s="227" customFormat="1" ht="15.75">
      <c r="A33" s="227" t="s">
        <v>137</v>
      </c>
      <c r="B33" s="227" t="s">
        <v>23</v>
      </c>
      <c r="C33" s="232">
        <v>436</v>
      </c>
      <c r="D33" s="225">
        <v>389</v>
      </c>
      <c r="E33" s="225"/>
      <c r="F33" s="232">
        <v>437</v>
      </c>
      <c r="G33" s="225">
        <v>371</v>
      </c>
      <c r="H33" s="225"/>
      <c r="I33" s="225">
        <v>402</v>
      </c>
      <c r="J33" s="225">
        <v>429</v>
      </c>
      <c r="K33" s="225"/>
      <c r="L33" s="225"/>
      <c r="M33" s="225"/>
      <c r="N33" s="159">
        <f t="shared" si="4"/>
        <v>2464</v>
      </c>
      <c r="O33" s="227">
        <v>2</v>
      </c>
      <c r="P33" s="227">
        <v>6</v>
      </c>
      <c r="Q33" s="227">
        <v>-237</v>
      </c>
      <c r="R33" s="227">
        <v>0</v>
      </c>
      <c r="U33" s="227">
        <v>1</v>
      </c>
    </row>
    <row r="34" spans="1:21" s="204" customFormat="1" ht="15.75">
      <c r="A34" s="204" t="s">
        <v>138</v>
      </c>
      <c r="B34" s="204" t="s">
        <v>180</v>
      </c>
      <c r="C34" s="224">
        <v>433</v>
      </c>
      <c r="D34" s="224">
        <v>393</v>
      </c>
      <c r="E34" s="220"/>
      <c r="F34" s="220">
        <v>361</v>
      </c>
      <c r="G34" s="220">
        <v>369</v>
      </c>
      <c r="H34" s="220"/>
      <c r="I34" s="220">
        <v>352</v>
      </c>
      <c r="J34" s="224">
        <v>403</v>
      </c>
      <c r="K34" s="220"/>
      <c r="L34" s="220"/>
      <c r="M34" s="220"/>
      <c r="N34" s="162">
        <f t="shared" si="4"/>
        <v>2311</v>
      </c>
      <c r="O34" s="204">
        <v>3</v>
      </c>
      <c r="P34" s="204">
        <v>5</v>
      </c>
      <c r="Q34" s="204">
        <v>-81</v>
      </c>
      <c r="R34" s="204">
        <v>0</v>
      </c>
      <c r="U34" s="204">
        <v>1</v>
      </c>
    </row>
    <row r="35" spans="1:21" s="227" customFormat="1" ht="15.75">
      <c r="A35" s="227" t="s">
        <v>139</v>
      </c>
      <c r="B35" s="225" t="s">
        <v>17</v>
      </c>
      <c r="C35" s="232">
        <v>449</v>
      </c>
      <c r="D35" s="225">
        <v>365</v>
      </c>
      <c r="E35" s="225">
        <v>380</v>
      </c>
      <c r="F35" s="225">
        <v>433</v>
      </c>
      <c r="G35" s="225">
        <v>415</v>
      </c>
      <c r="H35" s="225"/>
      <c r="I35" s="225"/>
      <c r="J35" s="232">
        <v>470</v>
      </c>
      <c r="K35" s="225"/>
      <c r="L35" s="225"/>
      <c r="M35" s="225"/>
      <c r="N35" s="159">
        <f t="shared" si="4"/>
        <v>2512</v>
      </c>
      <c r="O35" s="227">
        <v>2</v>
      </c>
      <c r="P35" s="227">
        <v>6</v>
      </c>
      <c r="Q35" s="227">
        <v>-125</v>
      </c>
      <c r="R35" s="227">
        <v>0</v>
      </c>
      <c r="U35" s="227">
        <v>1</v>
      </c>
    </row>
    <row r="36" spans="1:19" s="204" customFormat="1" ht="15.75">
      <c r="A36" s="204" t="s">
        <v>140</v>
      </c>
      <c r="B36" s="220" t="s">
        <v>178</v>
      </c>
      <c r="C36" s="224">
        <v>435</v>
      </c>
      <c r="D36" s="220"/>
      <c r="E36" s="220">
        <v>382</v>
      </c>
      <c r="F36" s="220">
        <v>420</v>
      </c>
      <c r="G36" s="224">
        <v>460</v>
      </c>
      <c r="H36" s="220"/>
      <c r="I36" s="220"/>
      <c r="J36" s="224">
        <v>467</v>
      </c>
      <c r="K36" s="224">
        <v>439</v>
      </c>
      <c r="L36" s="220"/>
      <c r="M36" s="220"/>
      <c r="N36" s="162">
        <f t="shared" si="4"/>
        <v>2603</v>
      </c>
      <c r="O36" s="204">
        <v>6</v>
      </c>
      <c r="P36" s="204">
        <v>2</v>
      </c>
      <c r="Q36" s="204">
        <v>70</v>
      </c>
      <c r="R36" s="204">
        <v>2</v>
      </c>
      <c r="S36" s="204">
        <v>1</v>
      </c>
    </row>
    <row r="37" spans="1:19" s="227" customFormat="1" ht="15.75">
      <c r="A37" s="227" t="s">
        <v>141</v>
      </c>
      <c r="B37" s="227" t="s">
        <v>259</v>
      </c>
      <c r="C37" s="232">
        <v>419</v>
      </c>
      <c r="D37" s="225"/>
      <c r="E37" s="225">
        <v>382</v>
      </c>
      <c r="F37" s="232">
        <v>476</v>
      </c>
      <c r="G37" s="232">
        <v>416</v>
      </c>
      <c r="H37" s="225"/>
      <c r="I37" s="232">
        <v>415</v>
      </c>
      <c r="J37" s="232">
        <v>433</v>
      </c>
      <c r="K37" s="225"/>
      <c r="L37" s="225"/>
      <c r="M37" s="225"/>
      <c r="N37" s="159">
        <f t="shared" si="4"/>
        <v>2541</v>
      </c>
      <c r="O37" s="227">
        <v>7</v>
      </c>
      <c r="P37" s="227">
        <v>1</v>
      </c>
      <c r="Q37" s="227">
        <v>243</v>
      </c>
      <c r="R37" s="227">
        <v>2</v>
      </c>
      <c r="S37" s="227">
        <v>1</v>
      </c>
    </row>
    <row r="38" spans="1:21" s="204" customFormat="1" ht="15.75">
      <c r="A38" s="204" t="s">
        <v>142</v>
      </c>
      <c r="B38" s="204" t="s">
        <v>20</v>
      </c>
      <c r="C38" s="204">
        <v>408</v>
      </c>
      <c r="D38" s="220"/>
      <c r="E38" s="220">
        <v>340</v>
      </c>
      <c r="F38" s="224">
        <v>435</v>
      </c>
      <c r="G38" s="220">
        <v>408</v>
      </c>
      <c r="H38" s="220"/>
      <c r="I38" s="220">
        <v>410</v>
      </c>
      <c r="J38" s="224">
        <v>438</v>
      </c>
      <c r="K38" s="220"/>
      <c r="L38" s="220"/>
      <c r="M38" s="220"/>
      <c r="N38" s="162">
        <f t="shared" si="4"/>
        <v>2439</v>
      </c>
      <c r="O38" s="204">
        <v>2</v>
      </c>
      <c r="P38" s="204">
        <v>6</v>
      </c>
      <c r="Q38" s="204">
        <v>-237</v>
      </c>
      <c r="R38" s="204">
        <v>0</v>
      </c>
      <c r="U38" s="204">
        <v>1</v>
      </c>
    </row>
    <row r="39" spans="1:21" s="227" customFormat="1" ht="15.75">
      <c r="A39" s="227" t="s">
        <v>143</v>
      </c>
      <c r="B39" s="227" t="s">
        <v>179</v>
      </c>
      <c r="C39" s="227">
        <v>403</v>
      </c>
      <c r="D39" s="225"/>
      <c r="E39" s="225">
        <v>391</v>
      </c>
      <c r="F39" s="225">
        <v>425</v>
      </c>
      <c r="G39" s="225">
        <v>423</v>
      </c>
      <c r="H39" s="225"/>
      <c r="I39" s="225"/>
      <c r="J39" s="225">
        <v>423</v>
      </c>
      <c r="K39" s="225">
        <v>419</v>
      </c>
      <c r="L39" s="225"/>
      <c r="M39" s="225"/>
      <c r="N39" s="159">
        <f t="shared" si="4"/>
        <v>2484</v>
      </c>
      <c r="O39" s="227">
        <v>0</v>
      </c>
      <c r="P39" s="227">
        <v>8</v>
      </c>
      <c r="Q39" s="227">
        <v>-221</v>
      </c>
      <c r="R39" s="227">
        <v>0</v>
      </c>
      <c r="U39" s="227">
        <v>1</v>
      </c>
    </row>
    <row r="40" spans="1:19" s="204" customFormat="1" ht="15.75">
      <c r="A40" s="204" t="s">
        <v>144</v>
      </c>
      <c r="B40" s="204" t="s">
        <v>177</v>
      </c>
      <c r="C40" s="204">
        <v>416</v>
      </c>
      <c r="D40" s="220">
        <v>380</v>
      </c>
      <c r="E40" s="220">
        <v>393</v>
      </c>
      <c r="F40" s="224">
        <v>449</v>
      </c>
      <c r="G40" s="224">
        <v>464</v>
      </c>
      <c r="H40" s="220"/>
      <c r="I40" s="220"/>
      <c r="J40" s="224">
        <v>462</v>
      </c>
      <c r="K40" s="220"/>
      <c r="L40" s="220"/>
      <c r="M40" s="220"/>
      <c r="N40" s="162">
        <f t="shared" si="4"/>
        <v>2564</v>
      </c>
      <c r="O40" s="204">
        <v>5</v>
      </c>
      <c r="P40" s="204">
        <v>3</v>
      </c>
      <c r="Q40" s="204">
        <v>12</v>
      </c>
      <c r="R40" s="204">
        <v>2</v>
      </c>
      <c r="S40" s="204">
        <v>1</v>
      </c>
    </row>
    <row r="41" spans="1:21" s="227" customFormat="1" ht="15.75">
      <c r="A41" s="227" t="s">
        <v>145</v>
      </c>
      <c r="B41" s="227" t="s">
        <v>15</v>
      </c>
      <c r="C41" s="227">
        <v>408</v>
      </c>
      <c r="D41" s="225">
        <v>382</v>
      </c>
      <c r="E41" s="225">
        <v>375</v>
      </c>
      <c r="F41" s="225">
        <v>400</v>
      </c>
      <c r="G41" s="232">
        <v>438</v>
      </c>
      <c r="H41" s="225"/>
      <c r="I41" s="225">
        <v>402</v>
      </c>
      <c r="J41" s="225"/>
      <c r="K41" s="225"/>
      <c r="L41" s="225"/>
      <c r="M41" s="225"/>
      <c r="N41" s="159">
        <f t="shared" si="4"/>
        <v>2405</v>
      </c>
      <c r="O41" s="227">
        <v>1</v>
      </c>
      <c r="P41" s="227">
        <v>7</v>
      </c>
      <c r="Q41" s="227">
        <v>-244</v>
      </c>
      <c r="R41" s="227">
        <v>0</v>
      </c>
      <c r="U41" s="227">
        <v>1</v>
      </c>
    </row>
    <row r="42" spans="1:21" s="204" customFormat="1" ht="15.75">
      <c r="A42" s="204" t="s">
        <v>146</v>
      </c>
      <c r="B42" s="116" t="s">
        <v>218</v>
      </c>
      <c r="C42" s="224">
        <v>410</v>
      </c>
      <c r="D42" s="220">
        <v>403</v>
      </c>
      <c r="E42" s="220">
        <v>396</v>
      </c>
      <c r="F42" s="224">
        <v>419</v>
      </c>
      <c r="G42" s="220">
        <v>407</v>
      </c>
      <c r="H42" s="220"/>
      <c r="I42" s="220"/>
      <c r="J42" s="220">
        <v>406</v>
      </c>
      <c r="K42" s="220"/>
      <c r="L42" s="220"/>
      <c r="M42" s="220"/>
      <c r="N42" s="162">
        <f t="shared" si="4"/>
        <v>2441</v>
      </c>
      <c r="O42" s="204">
        <v>2</v>
      </c>
      <c r="P42" s="204">
        <v>6</v>
      </c>
      <c r="Q42" s="204">
        <v>-150</v>
      </c>
      <c r="R42" s="204">
        <v>0</v>
      </c>
      <c r="U42" s="204">
        <v>1</v>
      </c>
    </row>
    <row r="43" spans="1:21" s="227" customFormat="1" ht="15.75">
      <c r="A43" s="227" t="s">
        <v>147</v>
      </c>
      <c r="B43" s="227" t="s">
        <v>258</v>
      </c>
      <c r="C43" s="144">
        <v>409</v>
      </c>
      <c r="D43" s="228"/>
      <c r="E43" s="230">
        <v>413</v>
      </c>
      <c r="F43" s="228">
        <v>395</v>
      </c>
      <c r="G43" s="230">
        <v>463</v>
      </c>
      <c r="H43" s="228"/>
      <c r="I43" s="228">
        <v>406</v>
      </c>
      <c r="J43" s="230">
        <v>415</v>
      </c>
      <c r="K43" s="228"/>
      <c r="L43" s="228"/>
      <c r="M43" s="228"/>
      <c r="N43" s="159">
        <f t="shared" si="4"/>
        <v>2501</v>
      </c>
      <c r="O43" s="227">
        <v>3</v>
      </c>
      <c r="P43" s="227">
        <v>5</v>
      </c>
      <c r="Q43" s="227">
        <v>-3</v>
      </c>
      <c r="R43" s="227">
        <v>0</v>
      </c>
      <c r="U43" s="227">
        <v>1</v>
      </c>
    </row>
    <row r="44" spans="1:21" s="227" customFormat="1" ht="16.5" thickBot="1">
      <c r="A44" s="227" t="s">
        <v>148</v>
      </c>
      <c r="B44" s="227" t="s">
        <v>18</v>
      </c>
      <c r="C44" s="145">
        <v>412</v>
      </c>
      <c r="D44" s="108"/>
      <c r="E44" s="108">
        <v>380</v>
      </c>
      <c r="F44" s="108">
        <v>432</v>
      </c>
      <c r="G44" s="108">
        <v>435</v>
      </c>
      <c r="H44" s="108"/>
      <c r="I44" s="236">
        <v>438</v>
      </c>
      <c r="J44" s="236">
        <v>454</v>
      </c>
      <c r="K44" s="108"/>
      <c r="L44" s="108"/>
      <c r="M44" s="108"/>
      <c r="N44" s="159">
        <f t="shared" si="4"/>
        <v>2551</v>
      </c>
      <c r="O44" s="227">
        <v>2</v>
      </c>
      <c r="P44" s="227">
        <v>6</v>
      </c>
      <c r="Q44" s="227">
        <v>-53</v>
      </c>
      <c r="R44" s="227">
        <v>0</v>
      </c>
      <c r="U44" s="227">
        <v>1</v>
      </c>
    </row>
    <row r="45" spans="3:21" ht="16.5" thickTop="1">
      <c r="C45" s="7">
        <f>SUM(C30:C44)</f>
        <v>6297</v>
      </c>
      <c r="D45" s="7">
        <f>SUM(D30:D33)+SUM(D41:D44)+SUM(D34:D36)+SUM(D37:D40)</f>
        <v>3490</v>
      </c>
      <c r="E45" s="7">
        <f>SUM(E30:E32)+SUM(E41:E44)+SUM(E33:E36)+SUM(E37:E40)</f>
        <v>4946</v>
      </c>
      <c r="F45" s="7">
        <f>SUM(F30:F44)</f>
        <v>6342</v>
      </c>
      <c r="G45" s="7">
        <f>SUM(G30:G44)</f>
        <v>5069</v>
      </c>
      <c r="H45" s="7">
        <f>SUM(H30:H44)</f>
        <v>0</v>
      </c>
      <c r="I45" s="7">
        <f>SUM(I30:I37)+SUM(I38:I44)</f>
        <v>2825</v>
      </c>
      <c r="J45" s="7">
        <f>SUM(J30:J44)</f>
        <v>6119</v>
      </c>
      <c r="K45" s="7">
        <f>SUM(K30:K44)</f>
        <v>2118</v>
      </c>
      <c r="L45" s="7"/>
      <c r="M45" s="7"/>
      <c r="O45" s="1">
        <f>SUM(O30:O44)</f>
        <v>45</v>
      </c>
      <c r="P45" s="1">
        <f>SUM(P30:P44)</f>
        <v>75</v>
      </c>
      <c r="Q45" s="1">
        <f>SUM(Q30:Q44)</f>
        <v>-1148</v>
      </c>
      <c r="R45" s="1">
        <f>SUM(R30:R44)</f>
        <v>7</v>
      </c>
      <c r="S45" s="1">
        <f>SUM(S30:S44)+S21</f>
        <v>3</v>
      </c>
      <c r="T45" s="1">
        <f>SUM(T30:T44)+T21</f>
        <v>2</v>
      </c>
      <c r="U45" s="1">
        <f>SUM(U30:U44)+U21</f>
        <v>25</v>
      </c>
    </row>
    <row r="46" spans="2:13" ht="15.75">
      <c r="B46" s="36" t="s">
        <v>213</v>
      </c>
      <c r="C46" s="1">
        <f>COUNT(C30:C44)</f>
        <v>15</v>
      </c>
      <c r="D46" s="7">
        <f>COUNT(D30:D33)+COUNT(D41:D44)+COUNT(D34:D36)+COUNT(D37:D40)</f>
        <v>9</v>
      </c>
      <c r="E46" s="7">
        <f>COUNT(E30:E33)+COUNT(E41:E44)+COUNT(E34:E35)+COUNT(E36:E40)</f>
        <v>13</v>
      </c>
      <c r="F46" s="1">
        <f>COUNT(F30:F44)</f>
        <v>15</v>
      </c>
      <c r="G46" s="1">
        <f>COUNT(G30:G44)</f>
        <v>12</v>
      </c>
      <c r="H46" s="1">
        <f>COUNT(H30:H44)</f>
        <v>0</v>
      </c>
      <c r="I46" s="7">
        <f>COUNT(I30:I37)+COUNT(I38:I44)</f>
        <v>7</v>
      </c>
      <c r="J46" s="1">
        <f>COUNT(J30:J44)</f>
        <v>14</v>
      </c>
      <c r="K46" s="1">
        <f>COUNT(K30:K44)</f>
        <v>5</v>
      </c>
      <c r="M46" s="7"/>
    </row>
    <row r="47" spans="2:21" ht="31.5">
      <c r="B47" s="11" t="s">
        <v>212</v>
      </c>
      <c r="C47" s="16">
        <f aca="true" t="shared" si="5" ref="C47:K47">C45/C46</f>
        <v>419.8</v>
      </c>
      <c r="D47" s="16">
        <f t="shared" si="5"/>
        <v>387.77777777777777</v>
      </c>
      <c r="E47" s="16">
        <f t="shared" si="5"/>
        <v>380.46153846153845</v>
      </c>
      <c r="F47" s="16">
        <f t="shared" si="5"/>
        <v>422.8</v>
      </c>
      <c r="G47" s="16">
        <f>G45/G46</f>
        <v>422.4166666666667</v>
      </c>
      <c r="H47" s="16" t="e">
        <f t="shared" si="5"/>
        <v>#DIV/0!</v>
      </c>
      <c r="I47" s="16">
        <f t="shared" si="5"/>
        <v>403.57142857142856</v>
      </c>
      <c r="J47" s="16">
        <f t="shared" si="5"/>
        <v>437.07142857142856</v>
      </c>
      <c r="K47" s="16">
        <f t="shared" si="5"/>
        <v>423.6</v>
      </c>
      <c r="L47" s="16"/>
      <c r="M47" s="16"/>
      <c r="N47" s="3" t="s">
        <v>27</v>
      </c>
      <c r="O47" s="308" t="s">
        <v>102</v>
      </c>
      <c r="P47" s="308"/>
      <c r="Q47" s="3" t="s">
        <v>28</v>
      </c>
      <c r="R47" s="10" t="s">
        <v>103</v>
      </c>
      <c r="T47" s="40" t="s">
        <v>111</v>
      </c>
      <c r="U47" s="40" t="s">
        <v>192</v>
      </c>
    </row>
    <row r="48" spans="14:21" ht="15.75">
      <c r="N48" s="6">
        <f>SUM(N30:N44)+N24</f>
        <v>73543</v>
      </c>
      <c r="O48" s="6">
        <f>SUM(O30:O44)+O24</f>
        <v>79</v>
      </c>
      <c r="P48" s="6">
        <f>SUM(P30:P44)+P24</f>
        <v>161</v>
      </c>
      <c r="Q48" s="6">
        <f>SUM(Q30:Q44)+Q24</f>
        <v>-2541</v>
      </c>
      <c r="R48" s="6">
        <f>SUM(R30:R44)+R24</f>
        <v>8</v>
      </c>
      <c r="T48" s="2">
        <f>O48-P48</f>
        <v>-82</v>
      </c>
      <c r="U48" s="2">
        <f>SUM(S45:U45)</f>
        <v>30</v>
      </c>
    </row>
    <row r="50" spans="14:15" ht="15.75">
      <c r="N50" s="1" t="s">
        <v>113</v>
      </c>
      <c r="O50" s="18">
        <f>N48/U48</f>
        <v>2451.4333333333334</v>
      </c>
    </row>
  </sheetData>
  <sheetProtection/>
  <mergeCells count="8">
    <mergeCell ref="O47:P47"/>
    <mergeCell ref="F1:G1"/>
    <mergeCell ref="O4:P4"/>
    <mergeCell ref="C26:D26"/>
    <mergeCell ref="O23:P23"/>
    <mergeCell ref="I1:J1"/>
    <mergeCell ref="I26:J26"/>
    <mergeCell ref="C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U49"/>
  <sheetViews>
    <sheetView zoomScale="90" zoomScaleNormal="90" zoomScalePageLayoutView="0" workbookViewId="0" topLeftCell="A25">
      <selection activeCell="J43" sqref="J43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375" style="1" customWidth="1"/>
    <col min="4" max="4" width="9.125" style="1" customWidth="1"/>
    <col min="5" max="7" width="9.625" style="1" customWidth="1"/>
    <col min="8" max="8" width="9.875" style="1" customWidth="1"/>
    <col min="9" max="9" width="10.00390625" style="1" customWidth="1"/>
    <col min="10" max="11" width="8.875" style="1" customWidth="1"/>
    <col min="12" max="12" width="11.875" style="1" customWidth="1"/>
    <col min="13" max="13" width="16.625" style="1" bestFit="1" customWidth="1"/>
    <col min="14" max="14" width="17.75390625" style="1" bestFit="1" customWidth="1"/>
    <col min="15" max="15" width="11.25390625" style="1" customWidth="1"/>
    <col min="16" max="16" width="10.375" style="1" customWidth="1"/>
    <col min="17" max="17" width="13.375" style="1" customWidth="1"/>
    <col min="18" max="18" width="12.25390625" style="1" customWidth="1"/>
    <col min="19" max="19" width="10.625" style="0" bestFit="1" customWidth="1"/>
    <col min="20" max="20" width="12.125" style="0" customWidth="1"/>
    <col min="21" max="21" width="10.25390625" style="0" customWidth="1"/>
  </cols>
  <sheetData>
    <row r="1" spans="1:15" ht="15.75">
      <c r="A1" s="27" t="s">
        <v>125</v>
      </c>
      <c r="B1" s="28"/>
      <c r="C1" s="28" t="s">
        <v>261</v>
      </c>
      <c r="D1" s="28" t="s">
        <v>262</v>
      </c>
      <c r="E1" s="306" t="s">
        <v>250</v>
      </c>
      <c r="F1" s="306"/>
      <c r="G1" s="306"/>
      <c r="H1" s="306"/>
      <c r="J1" s="301" t="s">
        <v>134</v>
      </c>
      <c r="K1" s="301"/>
      <c r="L1" s="11" t="s">
        <v>135</v>
      </c>
      <c r="M1" s="11" t="s">
        <v>111</v>
      </c>
      <c r="N1" s="1" t="s">
        <v>113</v>
      </c>
      <c r="O1" s="18">
        <f>N24/T24</f>
        <v>2532.866666666667</v>
      </c>
    </row>
    <row r="2" spans="10:15" ht="15.75">
      <c r="J2" s="1">
        <f>O24+O44</f>
        <v>116</v>
      </c>
      <c r="K2" s="1">
        <f>P24+P44</f>
        <v>124</v>
      </c>
      <c r="L2" s="1">
        <f>R24+R44</f>
        <v>28</v>
      </c>
      <c r="M2" s="1">
        <f>J2-K2</f>
        <v>-8</v>
      </c>
      <c r="N2" s="1" t="s">
        <v>198</v>
      </c>
      <c r="O2" s="6">
        <f>N6+N8+N10+N12+N14+N16+N18+N19+N29+N31+N33+N35+N37+N40+N42</f>
        <v>38046</v>
      </c>
    </row>
    <row r="4" spans="3:21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O4" s="308" t="s">
        <v>25</v>
      </c>
      <c r="P4" s="308"/>
      <c r="S4" s="2"/>
      <c r="T4" s="2"/>
      <c r="U4" s="2"/>
    </row>
    <row r="5" spans="2:21" ht="32.25" thickBot="1">
      <c r="B5" s="3" t="s">
        <v>22</v>
      </c>
      <c r="C5" s="8" t="s">
        <v>78</v>
      </c>
      <c r="D5" s="8" t="s">
        <v>244</v>
      </c>
      <c r="E5" s="8" t="s">
        <v>79</v>
      </c>
      <c r="F5" s="8" t="s">
        <v>253</v>
      </c>
      <c r="G5" s="173" t="s">
        <v>265</v>
      </c>
      <c r="H5" s="8" t="s">
        <v>80</v>
      </c>
      <c r="I5" s="8" t="s">
        <v>81</v>
      </c>
      <c r="J5" s="8" t="s">
        <v>82</v>
      </c>
      <c r="K5" s="8" t="s">
        <v>84</v>
      </c>
      <c r="L5" s="8" t="s">
        <v>251</v>
      </c>
      <c r="M5" s="8"/>
      <c r="N5" s="3" t="s">
        <v>27</v>
      </c>
      <c r="O5" s="3" t="s">
        <v>218</v>
      </c>
      <c r="P5" s="3" t="s">
        <v>26</v>
      </c>
      <c r="Q5" s="3" t="s">
        <v>28</v>
      </c>
      <c r="R5" s="10" t="s">
        <v>101</v>
      </c>
      <c r="S5" s="2" t="s">
        <v>162</v>
      </c>
      <c r="T5" s="2" t="s">
        <v>163</v>
      </c>
      <c r="U5" s="2" t="s">
        <v>164</v>
      </c>
    </row>
    <row r="6" spans="1:21" s="115" customFormat="1" ht="15.75">
      <c r="A6" s="113" t="s">
        <v>0</v>
      </c>
      <c r="B6" s="114" t="s">
        <v>179</v>
      </c>
      <c r="C6" s="114">
        <v>440</v>
      </c>
      <c r="D6" s="114"/>
      <c r="E6" s="114"/>
      <c r="F6" s="114"/>
      <c r="G6" s="177">
        <v>452</v>
      </c>
      <c r="H6" s="114">
        <v>390</v>
      </c>
      <c r="I6" s="177">
        <v>463</v>
      </c>
      <c r="J6" s="114"/>
      <c r="K6" s="177">
        <v>450</v>
      </c>
      <c r="L6" s="114">
        <v>393</v>
      </c>
      <c r="M6" s="147"/>
      <c r="N6" s="118">
        <f aca="true" t="shared" si="0" ref="N6:N17">SUM(C6:M6)</f>
        <v>2588</v>
      </c>
      <c r="O6" s="113">
        <v>3</v>
      </c>
      <c r="P6" s="113">
        <v>5</v>
      </c>
      <c r="Q6" s="113">
        <v>-65</v>
      </c>
      <c r="R6" s="113">
        <v>0</v>
      </c>
      <c r="S6" s="119"/>
      <c r="T6" s="119"/>
      <c r="U6" s="119">
        <v>1</v>
      </c>
    </row>
    <row r="7" spans="1:19" s="100" customFormat="1" ht="15.75">
      <c r="A7" s="100" t="s">
        <v>1</v>
      </c>
      <c r="B7" s="96" t="s">
        <v>20</v>
      </c>
      <c r="C7" s="96"/>
      <c r="D7" s="96">
        <v>380</v>
      </c>
      <c r="E7" s="96">
        <v>157</v>
      </c>
      <c r="F7" s="96"/>
      <c r="G7" s="179">
        <v>497</v>
      </c>
      <c r="H7" s="96"/>
      <c r="I7" s="96">
        <v>395</v>
      </c>
      <c r="J7" s="96">
        <v>186</v>
      </c>
      <c r="K7" s="179">
        <v>422</v>
      </c>
      <c r="L7" s="179">
        <v>421</v>
      </c>
      <c r="M7" s="102"/>
      <c r="N7" s="99">
        <f t="shared" si="0"/>
        <v>2458</v>
      </c>
      <c r="O7" s="100">
        <v>5</v>
      </c>
      <c r="P7" s="100">
        <v>3</v>
      </c>
      <c r="Q7" s="99">
        <v>72</v>
      </c>
      <c r="R7" s="100">
        <v>2</v>
      </c>
      <c r="S7" s="100">
        <v>1</v>
      </c>
    </row>
    <row r="8" spans="1:19" s="120" customFormat="1" ht="15.75">
      <c r="A8" s="120" t="s">
        <v>2</v>
      </c>
      <c r="B8" s="114" t="s">
        <v>259</v>
      </c>
      <c r="C8" s="177">
        <v>478</v>
      </c>
      <c r="D8" s="114">
        <v>388</v>
      </c>
      <c r="E8" s="114"/>
      <c r="F8" s="114"/>
      <c r="G8" s="177">
        <v>464</v>
      </c>
      <c r="H8" s="114">
        <v>400</v>
      </c>
      <c r="I8" s="177">
        <v>444</v>
      </c>
      <c r="J8" s="114"/>
      <c r="K8" s="114"/>
      <c r="L8" s="114">
        <v>417</v>
      </c>
      <c r="M8" s="117"/>
      <c r="N8" s="132">
        <f t="shared" si="0"/>
        <v>2591</v>
      </c>
      <c r="O8" s="120">
        <v>5</v>
      </c>
      <c r="P8" s="120">
        <v>3</v>
      </c>
      <c r="Q8" s="132">
        <v>4</v>
      </c>
      <c r="R8" s="120">
        <v>2</v>
      </c>
      <c r="S8" s="120">
        <v>1</v>
      </c>
    </row>
    <row r="9" spans="1:21" s="100" customFormat="1" ht="15.75">
      <c r="A9" s="100" t="s">
        <v>3</v>
      </c>
      <c r="B9" s="96" t="s">
        <v>178</v>
      </c>
      <c r="C9" s="96">
        <v>415</v>
      </c>
      <c r="D9" s="96">
        <v>392</v>
      </c>
      <c r="E9" s="96"/>
      <c r="F9" s="96"/>
      <c r="G9" s="179">
        <v>441</v>
      </c>
      <c r="H9" s="96">
        <v>382</v>
      </c>
      <c r="I9" s="179">
        <v>442</v>
      </c>
      <c r="J9" s="96"/>
      <c r="K9" s="96">
        <v>373</v>
      </c>
      <c r="L9" s="96"/>
      <c r="M9" s="102"/>
      <c r="N9" s="99">
        <f t="shared" si="0"/>
        <v>2445</v>
      </c>
      <c r="O9" s="100">
        <v>2</v>
      </c>
      <c r="P9" s="100">
        <v>6</v>
      </c>
      <c r="Q9" s="99">
        <v>-156</v>
      </c>
      <c r="R9" s="100">
        <v>0</v>
      </c>
      <c r="U9" s="100">
        <v>1</v>
      </c>
    </row>
    <row r="10" spans="1:21" s="120" customFormat="1" ht="15.75">
      <c r="A10" s="120" t="s">
        <v>4</v>
      </c>
      <c r="B10" s="120" t="s">
        <v>17</v>
      </c>
      <c r="C10" s="114">
        <v>434</v>
      </c>
      <c r="D10" s="114"/>
      <c r="E10" s="114"/>
      <c r="F10" s="114"/>
      <c r="G10" s="177">
        <v>456</v>
      </c>
      <c r="H10" s="114">
        <v>430</v>
      </c>
      <c r="I10" s="177">
        <v>435</v>
      </c>
      <c r="J10" s="114"/>
      <c r="K10" s="114">
        <v>429</v>
      </c>
      <c r="L10" s="114">
        <v>377</v>
      </c>
      <c r="M10" s="117"/>
      <c r="N10" s="132">
        <f t="shared" si="0"/>
        <v>2561</v>
      </c>
      <c r="O10" s="120">
        <v>2</v>
      </c>
      <c r="P10" s="120">
        <v>6</v>
      </c>
      <c r="Q10" s="132">
        <v>-85</v>
      </c>
      <c r="R10" s="120">
        <v>0</v>
      </c>
      <c r="U10" s="120">
        <v>1</v>
      </c>
    </row>
    <row r="11" spans="1:21" s="100" customFormat="1" ht="15.75">
      <c r="A11" s="100" t="s">
        <v>5</v>
      </c>
      <c r="B11" s="96" t="s">
        <v>180</v>
      </c>
      <c r="C11" s="96">
        <v>432</v>
      </c>
      <c r="D11" s="96">
        <v>375</v>
      </c>
      <c r="E11" s="96"/>
      <c r="F11" s="96"/>
      <c r="G11" s="179">
        <v>494</v>
      </c>
      <c r="H11" s="179">
        <v>470</v>
      </c>
      <c r="I11" s="179">
        <v>446</v>
      </c>
      <c r="J11" s="96"/>
      <c r="K11" s="96">
        <v>430</v>
      </c>
      <c r="L11" s="96"/>
      <c r="M11" s="102"/>
      <c r="N11" s="99">
        <f t="shared" si="0"/>
        <v>2647</v>
      </c>
      <c r="O11" s="100">
        <v>3</v>
      </c>
      <c r="P11" s="100">
        <v>5</v>
      </c>
      <c r="Q11" s="99">
        <v>-18</v>
      </c>
      <c r="R11" s="100">
        <v>0</v>
      </c>
      <c r="U11" s="100">
        <v>1</v>
      </c>
    </row>
    <row r="12" spans="1:21" s="120" customFormat="1" ht="15.75">
      <c r="A12" s="120" t="s">
        <v>6</v>
      </c>
      <c r="B12" s="120" t="s">
        <v>23</v>
      </c>
      <c r="C12" s="177">
        <v>454</v>
      </c>
      <c r="D12" s="114">
        <v>393</v>
      </c>
      <c r="E12" s="114"/>
      <c r="F12" s="114"/>
      <c r="G12" s="114"/>
      <c r="H12" s="114">
        <v>383</v>
      </c>
      <c r="I12" s="177">
        <v>448</v>
      </c>
      <c r="J12" s="114">
        <v>383</v>
      </c>
      <c r="K12" s="114">
        <v>410</v>
      </c>
      <c r="L12" s="114"/>
      <c r="M12" s="117"/>
      <c r="N12" s="132">
        <f t="shared" si="0"/>
        <v>2471</v>
      </c>
      <c r="O12" s="120">
        <v>2</v>
      </c>
      <c r="P12" s="120">
        <v>6</v>
      </c>
      <c r="Q12" s="132">
        <v>156</v>
      </c>
      <c r="R12" s="120">
        <v>0</v>
      </c>
      <c r="U12" s="120">
        <v>1</v>
      </c>
    </row>
    <row r="13" spans="1:21" s="100" customFormat="1" ht="15.75">
      <c r="A13" s="100" t="s">
        <v>7</v>
      </c>
      <c r="B13" s="96" t="s">
        <v>219</v>
      </c>
      <c r="C13" s="179">
        <v>445</v>
      </c>
      <c r="D13" s="96">
        <v>386</v>
      </c>
      <c r="E13" s="96"/>
      <c r="F13" s="96"/>
      <c r="G13" s="96"/>
      <c r="H13" s="96">
        <v>408</v>
      </c>
      <c r="I13" s="96">
        <v>414</v>
      </c>
      <c r="J13" s="96"/>
      <c r="K13" s="179">
        <v>442</v>
      </c>
      <c r="L13" s="96">
        <v>389</v>
      </c>
      <c r="M13" s="102"/>
      <c r="N13" s="99">
        <f t="shared" si="0"/>
        <v>2484</v>
      </c>
      <c r="O13" s="100">
        <v>2</v>
      </c>
      <c r="P13" s="100">
        <v>6</v>
      </c>
      <c r="Q13" s="99">
        <v>-155</v>
      </c>
      <c r="R13" s="100">
        <v>0</v>
      </c>
      <c r="U13" s="100">
        <v>1</v>
      </c>
    </row>
    <row r="14" spans="1:19" s="120" customFormat="1" ht="15.75">
      <c r="A14" s="120" t="s">
        <v>8</v>
      </c>
      <c r="B14" s="120" t="s">
        <v>220</v>
      </c>
      <c r="C14" s="114">
        <v>409</v>
      </c>
      <c r="D14" s="114">
        <v>355</v>
      </c>
      <c r="E14" s="114"/>
      <c r="F14" s="114"/>
      <c r="G14" s="177">
        <v>449</v>
      </c>
      <c r="H14" s="177">
        <v>423</v>
      </c>
      <c r="I14" s="177">
        <v>455</v>
      </c>
      <c r="J14" s="114"/>
      <c r="K14" s="177">
        <v>446</v>
      </c>
      <c r="L14" s="114"/>
      <c r="M14" s="117"/>
      <c r="N14" s="132">
        <f t="shared" si="0"/>
        <v>2537</v>
      </c>
      <c r="O14" s="120">
        <v>6</v>
      </c>
      <c r="P14" s="120">
        <v>2</v>
      </c>
      <c r="Q14" s="132">
        <v>19</v>
      </c>
      <c r="R14" s="120">
        <v>2</v>
      </c>
      <c r="S14" s="120">
        <v>1</v>
      </c>
    </row>
    <row r="15" spans="1:20" s="100" customFormat="1" ht="15.75">
      <c r="A15" s="100" t="s">
        <v>9</v>
      </c>
      <c r="B15" s="96" t="s">
        <v>19</v>
      </c>
      <c r="C15" s="214">
        <v>407</v>
      </c>
      <c r="D15" s="214">
        <v>157</v>
      </c>
      <c r="E15" s="214"/>
      <c r="F15" s="214"/>
      <c r="G15" s="218">
        <v>515</v>
      </c>
      <c r="H15" s="214">
        <v>399</v>
      </c>
      <c r="I15" s="218">
        <v>444</v>
      </c>
      <c r="J15" s="214">
        <v>165</v>
      </c>
      <c r="K15" s="214">
        <v>407</v>
      </c>
      <c r="L15" s="214"/>
      <c r="M15" s="217"/>
      <c r="N15" s="215">
        <v>2494</v>
      </c>
      <c r="O15" s="216">
        <v>4</v>
      </c>
      <c r="P15" s="216">
        <v>4</v>
      </c>
      <c r="Q15" s="216">
        <v>8</v>
      </c>
      <c r="R15" s="216">
        <v>1</v>
      </c>
      <c r="S15" s="216"/>
      <c r="T15" s="216">
        <v>1</v>
      </c>
    </row>
    <row r="16" spans="1:19" s="120" customFormat="1" ht="15.75">
      <c r="A16" s="120" t="s">
        <v>10</v>
      </c>
      <c r="B16" s="114" t="s">
        <v>257</v>
      </c>
      <c r="C16" s="114">
        <v>401</v>
      </c>
      <c r="D16" s="114"/>
      <c r="E16" s="114"/>
      <c r="F16" s="114"/>
      <c r="G16" s="224">
        <v>447</v>
      </c>
      <c r="H16" s="181">
        <v>404</v>
      </c>
      <c r="I16" s="181">
        <v>412</v>
      </c>
      <c r="J16" s="116"/>
      <c r="K16" s="116">
        <v>402</v>
      </c>
      <c r="L16" s="116">
        <v>381</v>
      </c>
      <c r="M16" s="117"/>
      <c r="N16" s="132">
        <f t="shared" si="0"/>
        <v>2447</v>
      </c>
      <c r="O16" s="120">
        <v>5</v>
      </c>
      <c r="P16" s="120">
        <v>3</v>
      </c>
      <c r="Q16" s="120">
        <v>26</v>
      </c>
      <c r="R16" s="120">
        <v>2</v>
      </c>
      <c r="S16" s="120">
        <v>1</v>
      </c>
    </row>
    <row r="17" spans="1:19" s="100" customFormat="1" ht="15.75">
      <c r="A17" s="100" t="s">
        <v>11</v>
      </c>
      <c r="B17" s="96" t="s">
        <v>258</v>
      </c>
      <c r="C17" s="96">
        <v>388</v>
      </c>
      <c r="D17" s="96"/>
      <c r="E17" s="96"/>
      <c r="F17" s="96"/>
      <c r="G17" s="232">
        <v>467</v>
      </c>
      <c r="H17" s="96">
        <v>390</v>
      </c>
      <c r="I17" s="232">
        <v>471</v>
      </c>
      <c r="J17" s="96"/>
      <c r="K17" s="96">
        <v>385</v>
      </c>
      <c r="L17" s="232">
        <v>417</v>
      </c>
      <c r="M17" s="102"/>
      <c r="N17" s="99">
        <f t="shared" si="0"/>
        <v>2518</v>
      </c>
      <c r="O17" s="100">
        <v>5</v>
      </c>
      <c r="P17" s="100">
        <v>3</v>
      </c>
      <c r="Q17" s="99">
        <v>21</v>
      </c>
      <c r="R17" s="100">
        <v>2</v>
      </c>
      <c r="S17" s="100">
        <v>1</v>
      </c>
    </row>
    <row r="18" spans="1:19" s="120" customFormat="1" ht="15.75">
      <c r="A18" s="120" t="s">
        <v>12</v>
      </c>
      <c r="B18" s="116" t="s">
        <v>18</v>
      </c>
      <c r="C18" s="224">
        <v>437</v>
      </c>
      <c r="D18" s="114"/>
      <c r="E18" s="114"/>
      <c r="F18" s="114"/>
      <c r="G18" s="224">
        <v>491</v>
      </c>
      <c r="H18" s="114">
        <v>424</v>
      </c>
      <c r="I18" s="224">
        <v>445</v>
      </c>
      <c r="J18" s="114"/>
      <c r="K18" s="114">
        <v>410</v>
      </c>
      <c r="L18" s="224">
        <v>425</v>
      </c>
      <c r="M18" s="117"/>
      <c r="N18" s="132">
        <f>SUM(C18:M18)</f>
        <v>2632</v>
      </c>
      <c r="O18" s="120">
        <v>6</v>
      </c>
      <c r="P18" s="120">
        <v>2</v>
      </c>
      <c r="Q18" s="120">
        <v>134</v>
      </c>
      <c r="R18" s="120">
        <v>2</v>
      </c>
      <c r="S18" s="120">
        <v>1</v>
      </c>
    </row>
    <row r="19" spans="1:21" s="120" customFormat="1" ht="15.75">
      <c r="A19" s="120" t="s">
        <v>13</v>
      </c>
      <c r="B19" s="120" t="s">
        <v>15</v>
      </c>
      <c r="C19" s="116">
        <v>414</v>
      </c>
      <c r="D19" s="116"/>
      <c r="E19" s="116"/>
      <c r="F19" s="116"/>
      <c r="G19" s="181">
        <v>430</v>
      </c>
      <c r="H19" s="181">
        <v>449</v>
      </c>
      <c r="I19" s="116">
        <v>430</v>
      </c>
      <c r="J19" s="116">
        <v>424</v>
      </c>
      <c r="K19" s="181">
        <v>434</v>
      </c>
      <c r="L19" s="116"/>
      <c r="M19" s="117"/>
      <c r="N19" s="132">
        <f>SUM(C19:M19)</f>
        <v>2581</v>
      </c>
      <c r="O19" s="135">
        <v>3</v>
      </c>
      <c r="P19" s="135">
        <v>5</v>
      </c>
      <c r="Q19" s="134">
        <v>-42</v>
      </c>
      <c r="R19" s="135">
        <v>0</v>
      </c>
      <c r="S19" s="135"/>
      <c r="T19" s="135"/>
      <c r="U19" s="135">
        <v>1</v>
      </c>
    </row>
    <row r="20" spans="1:21" s="100" customFormat="1" ht="16.5" thickBot="1">
      <c r="A20" s="100" t="s">
        <v>14</v>
      </c>
      <c r="B20" s="96" t="s">
        <v>177</v>
      </c>
      <c r="C20" s="108">
        <v>412</v>
      </c>
      <c r="D20" s="108"/>
      <c r="E20" s="108"/>
      <c r="F20" s="108"/>
      <c r="G20" s="236">
        <v>489</v>
      </c>
      <c r="H20" s="236">
        <v>424</v>
      </c>
      <c r="I20" s="236">
        <v>448</v>
      </c>
      <c r="J20" s="108"/>
      <c r="K20" s="108">
        <v>397</v>
      </c>
      <c r="L20" s="108">
        <v>369</v>
      </c>
      <c r="M20" s="109"/>
      <c r="N20" s="99">
        <f>SUM(C20:M20)</f>
        <v>2539</v>
      </c>
      <c r="O20" s="100">
        <v>3</v>
      </c>
      <c r="P20" s="100">
        <v>5</v>
      </c>
      <c r="Q20" s="99">
        <v>-21</v>
      </c>
      <c r="R20" s="100">
        <v>0</v>
      </c>
      <c r="U20" s="100">
        <v>1</v>
      </c>
    </row>
    <row r="21" spans="3:21" ht="16.5" thickTop="1">
      <c r="C21" s="6">
        <f>SUM(C6:C20)</f>
        <v>5966</v>
      </c>
      <c r="D21" s="6">
        <f aca="true" t="shared" si="1" ref="D21:M21">SUM(D6:D20)</f>
        <v>2826</v>
      </c>
      <c r="E21" s="6">
        <f>SUM(E8:E20)</f>
        <v>0</v>
      </c>
      <c r="F21" s="6">
        <f t="shared" si="1"/>
        <v>0</v>
      </c>
      <c r="G21" s="6">
        <f t="shared" si="1"/>
        <v>6092</v>
      </c>
      <c r="H21" s="6">
        <f t="shared" si="1"/>
        <v>5776</v>
      </c>
      <c r="I21" s="6">
        <f t="shared" si="1"/>
        <v>6592</v>
      </c>
      <c r="J21" s="6">
        <f>SUM(J8:J20)</f>
        <v>972</v>
      </c>
      <c r="K21" s="6">
        <f t="shared" si="1"/>
        <v>5837</v>
      </c>
      <c r="L21" s="6">
        <f t="shared" si="1"/>
        <v>3589</v>
      </c>
      <c r="M21" s="6">
        <f t="shared" si="1"/>
        <v>0</v>
      </c>
      <c r="S21" s="26">
        <f>SUM(S6:S20)</f>
        <v>6</v>
      </c>
      <c r="T21" s="26">
        <f>SUM(T6:T20)</f>
        <v>1</v>
      </c>
      <c r="U21" s="26">
        <f>SUM(U6:U20)</f>
        <v>8</v>
      </c>
    </row>
    <row r="22" spans="2:13" ht="15.75">
      <c r="B22" s="1" t="s">
        <v>194</v>
      </c>
      <c r="C22" s="6">
        <f>COUNT(C6:C20)</f>
        <v>14</v>
      </c>
      <c r="D22" s="6">
        <f aca="true" t="shared" si="2" ref="D22:M22">COUNT(D6:D20)</f>
        <v>8</v>
      </c>
      <c r="E22" s="6">
        <f>COUNT(E8:E20)</f>
        <v>0</v>
      </c>
      <c r="F22" s="6">
        <f t="shared" si="2"/>
        <v>0</v>
      </c>
      <c r="G22" s="6">
        <f t="shared" si="2"/>
        <v>13</v>
      </c>
      <c r="H22" s="6">
        <f t="shared" si="2"/>
        <v>14</v>
      </c>
      <c r="I22" s="6">
        <f t="shared" si="2"/>
        <v>15</v>
      </c>
      <c r="J22" s="6">
        <f>COUNT(J8:J20)</f>
        <v>3</v>
      </c>
      <c r="K22" s="6">
        <f t="shared" si="2"/>
        <v>14</v>
      </c>
      <c r="L22" s="6">
        <f t="shared" si="2"/>
        <v>9</v>
      </c>
      <c r="M22" s="6">
        <f t="shared" si="2"/>
        <v>0</v>
      </c>
    </row>
    <row r="23" spans="2:20" ht="35.25" customHeight="1">
      <c r="B23" s="11" t="s">
        <v>112</v>
      </c>
      <c r="C23" s="16">
        <f>AVERAGE(C6:C20)</f>
        <v>426.14285714285717</v>
      </c>
      <c r="D23" s="16">
        <f aca="true" t="shared" si="3" ref="D23:K23">D21/D22</f>
        <v>353.25</v>
      </c>
      <c r="E23" s="16"/>
      <c r="F23" s="16"/>
      <c r="G23" s="16">
        <f t="shared" si="3"/>
        <v>468.61538461538464</v>
      </c>
      <c r="H23" s="16">
        <f t="shared" si="3"/>
        <v>412.57142857142856</v>
      </c>
      <c r="I23" s="16">
        <f t="shared" si="3"/>
        <v>439.46666666666664</v>
      </c>
      <c r="J23" s="16"/>
      <c r="K23" s="16">
        <f t="shared" si="3"/>
        <v>416.92857142857144</v>
      </c>
      <c r="L23" s="16">
        <f>AVERAGE(L6:L20)</f>
        <v>398.77777777777777</v>
      </c>
      <c r="M23" s="16"/>
      <c r="N23" s="3" t="s">
        <v>27</v>
      </c>
      <c r="O23" s="308" t="s">
        <v>102</v>
      </c>
      <c r="P23" s="308"/>
      <c r="Q23" s="3" t="s">
        <v>28</v>
      </c>
      <c r="R23" s="10" t="s">
        <v>103</v>
      </c>
      <c r="S23" s="40" t="s">
        <v>111</v>
      </c>
      <c r="T23" s="40" t="s">
        <v>192</v>
      </c>
    </row>
    <row r="24" spans="14:20" ht="15.75">
      <c r="N24" s="6">
        <f>SUM(N6:N20)</f>
        <v>37993</v>
      </c>
      <c r="O24" s="1">
        <f>SUM(O6:O20)</f>
        <v>56</v>
      </c>
      <c r="P24" s="1">
        <f>SUM(P6:P20)</f>
        <v>64</v>
      </c>
      <c r="Q24" s="1">
        <f>SUM(Q6:Q20)</f>
        <v>-102</v>
      </c>
      <c r="R24" s="1">
        <f>SUM(R6:R20)</f>
        <v>13</v>
      </c>
      <c r="S24" s="2">
        <f>O24-P24</f>
        <v>-8</v>
      </c>
      <c r="T24" s="26">
        <f>SUM(S21:U21)</f>
        <v>15</v>
      </c>
    </row>
    <row r="25" spans="3:12" ht="15.75">
      <c r="C25" s="309" t="s">
        <v>33</v>
      </c>
      <c r="D25" s="309"/>
      <c r="H25" s="311" t="s">
        <v>117</v>
      </c>
      <c r="I25" s="311"/>
      <c r="K25" s="310" t="s">
        <v>118</v>
      </c>
      <c r="L25" s="310"/>
    </row>
    <row r="26" spans="1:21" ht="16.5" thickBot="1">
      <c r="A26" s="39"/>
      <c r="B26" s="39"/>
      <c r="C26" s="39"/>
      <c r="D26" s="39"/>
      <c r="E26" s="39"/>
      <c r="F26" s="39"/>
      <c r="G26" s="39"/>
      <c r="H26" s="66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62"/>
      <c r="T26" s="62"/>
      <c r="U26" s="62"/>
    </row>
    <row r="28" spans="2:21" ht="32.25" thickBot="1">
      <c r="B28" s="3" t="s">
        <v>22</v>
      </c>
      <c r="C28" s="8" t="s">
        <v>78</v>
      </c>
      <c r="D28" s="8" t="s">
        <v>244</v>
      </c>
      <c r="E28" s="8" t="s">
        <v>79</v>
      </c>
      <c r="F28" s="8" t="s">
        <v>253</v>
      </c>
      <c r="G28" s="173" t="s">
        <v>265</v>
      </c>
      <c r="H28" s="8" t="s">
        <v>80</v>
      </c>
      <c r="I28" s="8" t="s">
        <v>81</v>
      </c>
      <c r="J28" s="8" t="s">
        <v>82</v>
      </c>
      <c r="K28" s="8" t="s">
        <v>84</v>
      </c>
      <c r="L28" s="8" t="s">
        <v>251</v>
      </c>
      <c r="M28" s="8"/>
      <c r="N28" s="3" t="s">
        <v>27</v>
      </c>
      <c r="O28" s="3" t="s">
        <v>218</v>
      </c>
      <c r="P28" s="3" t="s">
        <v>26</v>
      </c>
      <c r="Q28" s="3" t="s">
        <v>28</v>
      </c>
      <c r="R28" s="10" t="s">
        <v>101</v>
      </c>
      <c r="S28" s="2" t="s">
        <v>162</v>
      </c>
      <c r="T28" s="2" t="s">
        <v>163</v>
      </c>
      <c r="U28" s="2" t="s">
        <v>164</v>
      </c>
    </row>
    <row r="29" spans="1:21" s="204" customFormat="1" ht="15.75">
      <c r="A29" s="204" t="s">
        <v>286</v>
      </c>
      <c r="B29" s="204" t="s">
        <v>219</v>
      </c>
      <c r="C29" s="224">
        <v>438</v>
      </c>
      <c r="D29" s="220">
        <v>177</v>
      </c>
      <c r="E29" s="220">
        <v>159</v>
      </c>
      <c r="F29" s="220"/>
      <c r="G29" s="220"/>
      <c r="H29" s="224">
        <v>418</v>
      </c>
      <c r="I29" s="220"/>
      <c r="J29" s="220">
        <v>393</v>
      </c>
      <c r="K29" s="220">
        <v>399</v>
      </c>
      <c r="L29" s="220">
        <v>398</v>
      </c>
      <c r="M29" s="220"/>
      <c r="N29" s="162">
        <f aca="true" t="shared" si="4" ref="N29:N43">SUM(C29:M29)</f>
        <v>2382</v>
      </c>
      <c r="O29" s="204">
        <v>2</v>
      </c>
      <c r="P29" s="204">
        <v>6</v>
      </c>
      <c r="Q29" s="204">
        <v>-130</v>
      </c>
      <c r="R29" s="204">
        <v>0</v>
      </c>
      <c r="U29" s="204">
        <v>1</v>
      </c>
    </row>
    <row r="30" spans="1:21" s="227" customFormat="1" ht="15.75">
      <c r="A30" s="227" t="s">
        <v>287</v>
      </c>
      <c r="B30" s="227" t="s">
        <v>23</v>
      </c>
      <c r="C30" s="227">
        <v>413</v>
      </c>
      <c r="D30" s="225">
        <v>190</v>
      </c>
      <c r="E30" s="225"/>
      <c r="F30" s="225"/>
      <c r="G30" s="232">
        <v>476</v>
      </c>
      <c r="H30" s="225"/>
      <c r="I30" s="225">
        <v>424</v>
      </c>
      <c r="J30" s="225">
        <v>230</v>
      </c>
      <c r="K30" s="225">
        <v>403</v>
      </c>
      <c r="L30" s="225">
        <v>426</v>
      </c>
      <c r="M30" s="225"/>
      <c r="N30" s="159">
        <f t="shared" si="4"/>
        <v>2562</v>
      </c>
      <c r="O30" s="227">
        <v>1</v>
      </c>
      <c r="P30" s="227">
        <v>7</v>
      </c>
      <c r="Q30" s="227">
        <v>-106</v>
      </c>
      <c r="R30" s="227">
        <v>0</v>
      </c>
      <c r="U30" s="227">
        <v>1</v>
      </c>
    </row>
    <row r="31" spans="1:21" s="204" customFormat="1" ht="15.75">
      <c r="A31" s="204" t="s">
        <v>136</v>
      </c>
      <c r="B31" s="204" t="s">
        <v>180</v>
      </c>
      <c r="C31" s="204">
        <v>390</v>
      </c>
      <c r="D31" s="220"/>
      <c r="E31" s="220"/>
      <c r="F31" s="220"/>
      <c r="G31" s="224">
        <v>427</v>
      </c>
      <c r="H31" s="220">
        <v>376</v>
      </c>
      <c r="I31" s="224">
        <v>415</v>
      </c>
      <c r="J31" s="220"/>
      <c r="K31" s="220">
        <v>401</v>
      </c>
      <c r="L31" s="220">
        <v>380</v>
      </c>
      <c r="M31" s="220"/>
      <c r="N31" s="162">
        <f t="shared" si="4"/>
        <v>2389</v>
      </c>
      <c r="O31" s="204">
        <v>2</v>
      </c>
      <c r="P31" s="204">
        <v>6</v>
      </c>
      <c r="Q31" s="204">
        <v>-16</v>
      </c>
      <c r="R31" s="204">
        <v>0</v>
      </c>
      <c r="U31" s="204">
        <v>1</v>
      </c>
    </row>
    <row r="32" spans="1:19" s="227" customFormat="1" ht="15.75">
      <c r="A32" s="227" t="s">
        <v>137</v>
      </c>
      <c r="B32" s="225" t="s">
        <v>17</v>
      </c>
      <c r="C32" s="232">
        <v>431</v>
      </c>
      <c r="D32" s="225"/>
      <c r="E32" s="225"/>
      <c r="F32" s="225"/>
      <c r="G32" s="232">
        <v>456</v>
      </c>
      <c r="H32" s="232">
        <v>423</v>
      </c>
      <c r="I32" s="225">
        <v>400</v>
      </c>
      <c r="J32" s="225"/>
      <c r="K32" s="232">
        <v>442</v>
      </c>
      <c r="L32" s="225">
        <v>356</v>
      </c>
      <c r="M32" s="225"/>
      <c r="N32" s="159">
        <f t="shared" si="4"/>
        <v>2508</v>
      </c>
      <c r="O32" s="227">
        <v>6</v>
      </c>
      <c r="P32" s="227">
        <v>2</v>
      </c>
      <c r="Q32" s="227">
        <v>30</v>
      </c>
      <c r="R32" s="227">
        <v>2</v>
      </c>
      <c r="S32" s="227">
        <v>1</v>
      </c>
    </row>
    <row r="33" spans="1:20" s="204" customFormat="1" ht="15.75">
      <c r="A33" s="204" t="s">
        <v>138</v>
      </c>
      <c r="B33" s="220" t="s">
        <v>178</v>
      </c>
      <c r="C33" s="224">
        <v>472</v>
      </c>
      <c r="D33" s="220"/>
      <c r="E33" s="220"/>
      <c r="F33" s="220"/>
      <c r="G33" s="224">
        <v>531</v>
      </c>
      <c r="H33" s="220">
        <v>402</v>
      </c>
      <c r="I33" s="220">
        <v>422</v>
      </c>
      <c r="J33" s="220"/>
      <c r="K33" s="220">
        <v>427</v>
      </c>
      <c r="L33" s="220">
        <v>416</v>
      </c>
      <c r="M33" s="220"/>
      <c r="N33" s="162">
        <f t="shared" si="4"/>
        <v>2670</v>
      </c>
      <c r="O33" s="204">
        <v>4</v>
      </c>
      <c r="P33" s="204">
        <v>4</v>
      </c>
      <c r="Q33" s="204">
        <f>N33-2651</f>
        <v>19</v>
      </c>
      <c r="R33" s="204">
        <v>1</v>
      </c>
      <c r="T33" s="204">
        <v>1</v>
      </c>
    </row>
    <row r="34" spans="1:19" s="227" customFormat="1" ht="15.75">
      <c r="A34" s="227" t="s">
        <v>139</v>
      </c>
      <c r="B34" s="227" t="s">
        <v>259</v>
      </c>
      <c r="C34" s="232">
        <v>439</v>
      </c>
      <c r="D34" s="228"/>
      <c r="E34" s="228"/>
      <c r="F34" s="228"/>
      <c r="G34" s="230">
        <v>480</v>
      </c>
      <c r="H34" s="228">
        <v>408</v>
      </c>
      <c r="I34" s="230">
        <v>416</v>
      </c>
      <c r="J34" s="228">
        <v>389</v>
      </c>
      <c r="K34" s="230">
        <v>435</v>
      </c>
      <c r="L34" s="228"/>
      <c r="M34" s="229"/>
      <c r="N34" s="159">
        <f t="shared" si="4"/>
        <v>2567</v>
      </c>
      <c r="O34" s="227">
        <v>6</v>
      </c>
      <c r="P34" s="227">
        <v>2</v>
      </c>
      <c r="Q34" s="227">
        <v>101</v>
      </c>
      <c r="R34" s="227">
        <v>2</v>
      </c>
      <c r="S34" s="227">
        <v>1</v>
      </c>
    </row>
    <row r="35" spans="1:21" s="204" customFormat="1" ht="15.75">
      <c r="A35" s="204" t="s">
        <v>140</v>
      </c>
      <c r="B35" s="204" t="s">
        <v>20</v>
      </c>
      <c r="C35" s="204">
        <v>405</v>
      </c>
      <c r="D35" s="220"/>
      <c r="E35" s="220"/>
      <c r="F35" s="220"/>
      <c r="G35" s="224">
        <v>438</v>
      </c>
      <c r="H35" s="224">
        <v>461</v>
      </c>
      <c r="I35" s="224">
        <v>436</v>
      </c>
      <c r="J35" s="220"/>
      <c r="K35" s="220">
        <v>404</v>
      </c>
      <c r="L35" s="220">
        <v>410</v>
      </c>
      <c r="M35" s="220"/>
      <c r="N35" s="162">
        <f t="shared" si="4"/>
        <v>2554</v>
      </c>
      <c r="O35" s="204">
        <v>3</v>
      </c>
      <c r="P35" s="204">
        <v>5</v>
      </c>
      <c r="Q35" s="204">
        <v>-83</v>
      </c>
      <c r="R35" s="204">
        <v>0</v>
      </c>
      <c r="U35" s="204">
        <v>1</v>
      </c>
    </row>
    <row r="36" spans="1:21" s="227" customFormat="1" ht="15.75">
      <c r="A36" s="227" t="s">
        <v>141</v>
      </c>
      <c r="B36" s="227" t="s">
        <v>179</v>
      </c>
      <c r="C36" s="232">
        <v>468</v>
      </c>
      <c r="D36" s="225"/>
      <c r="E36" s="225"/>
      <c r="F36" s="225"/>
      <c r="G36" s="232">
        <v>470</v>
      </c>
      <c r="H36" s="225">
        <v>411</v>
      </c>
      <c r="I36" s="225">
        <v>418</v>
      </c>
      <c r="J36" s="225"/>
      <c r="K36" s="225">
        <v>403</v>
      </c>
      <c r="L36" s="225">
        <v>429</v>
      </c>
      <c r="M36" s="225"/>
      <c r="N36" s="159">
        <f t="shared" si="4"/>
        <v>2599</v>
      </c>
      <c r="O36" s="227">
        <v>2</v>
      </c>
      <c r="P36" s="227">
        <v>6</v>
      </c>
      <c r="Q36" s="227">
        <v>-12</v>
      </c>
      <c r="R36" s="227">
        <v>0</v>
      </c>
      <c r="U36" s="227">
        <v>1</v>
      </c>
    </row>
    <row r="37" spans="1:19" s="204" customFormat="1" ht="15.75">
      <c r="A37" s="204" t="s">
        <v>142</v>
      </c>
      <c r="B37" s="204" t="s">
        <v>177</v>
      </c>
      <c r="C37" s="224">
        <v>442</v>
      </c>
      <c r="D37" s="220"/>
      <c r="E37" s="220"/>
      <c r="F37" s="220"/>
      <c r="G37" s="224">
        <v>439</v>
      </c>
      <c r="H37" s="224">
        <v>422</v>
      </c>
      <c r="I37" s="220">
        <v>421</v>
      </c>
      <c r="J37" s="220"/>
      <c r="K37" s="224">
        <v>426</v>
      </c>
      <c r="L37" s="220">
        <v>410</v>
      </c>
      <c r="M37" s="220"/>
      <c r="N37" s="162">
        <f t="shared" si="4"/>
        <v>2560</v>
      </c>
      <c r="O37" s="204">
        <v>6</v>
      </c>
      <c r="P37" s="204">
        <v>2</v>
      </c>
      <c r="Q37" s="204">
        <v>54</v>
      </c>
      <c r="R37" s="204">
        <v>2</v>
      </c>
      <c r="S37" s="204">
        <v>1</v>
      </c>
    </row>
    <row r="38" spans="1:21" s="227" customFormat="1" ht="15.75">
      <c r="A38" s="227" t="s">
        <v>143</v>
      </c>
      <c r="B38" s="227" t="s">
        <v>15</v>
      </c>
      <c r="C38" s="232">
        <v>445</v>
      </c>
      <c r="D38" s="225"/>
      <c r="E38" s="225"/>
      <c r="F38" s="225"/>
      <c r="G38" s="232">
        <v>478</v>
      </c>
      <c r="H38" s="225">
        <v>406</v>
      </c>
      <c r="I38" s="225">
        <v>411</v>
      </c>
      <c r="J38" s="225"/>
      <c r="K38" s="225">
        <v>385</v>
      </c>
      <c r="L38" s="225">
        <v>386</v>
      </c>
      <c r="M38" s="225"/>
      <c r="N38" s="159">
        <f t="shared" si="4"/>
        <v>2511</v>
      </c>
      <c r="O38" s="227">
        <v>2</v>
      </c>
      <c r="P38" s="227">
        <v>6</v>
      </c>
      <c r="Q38" s="227">
        <v>-10</v>
      </c>
      <c r="R38" s="227">
        <v>0</v>
      </c>
      <c r="U38" s="227">
        <v>1</v>
      </c>
    </row>
    <row r="39" spans="1:19" s="227" customFormat="1" ht="15.75">
      <c r="A39" s="227" t="s">
        <v>144</v>
      </c>
      <c r="B39" s="227" t="s">
        <v>18</v>
      </c>
      <c r="C39" s="232">
        <v>447</v>
      </c>
      <c r="D39" s="225"/>
      <c r="E39" s="225"/>
      <c r="F39" s="225"/>
      <c r="G39" s="232">
        <v>514</v>
      </c>
      <c r="H39" s="225">
        <v>405</v>
      </c>
      <c r="I39" s="225">
        <v>426</v>
      </c>
      <c r="J39" s="225"/>
      <c r="K39" s="232">
        <v>436</v>
      </c>
      <c r="L39" s="225">
        <v>426</v>
      </c>
      <c r="M39" s="225"/>
      <c r="N39" s="159">
        <f t="shared" si="4"/>
        <v>2654</v>
      </c>
      <c r="O39" s="227">
        <v>5</v>
      </c>
      <c r="P39" s="227">
        <v>3</v>
      </c>
      <c r="Q39" s="227">
        <v>90</v>
      </c>
      <c r="R39" s="227">
        <v>2</v>
      </c>
      <c r="S39" s="227">
        <v>1</v>
      </c>
    </row>
    <row r="40" spans="1:19" s="204" customFormat="1" ht="15.75">
      <c r="A40" s="204" t="s">
        <v>145</v>
      </c>
      <c r="B40" s="204" t="s">
        <v>258</v>
      </c>
      <c r="C40" s="224">
        <v>450</v>
      </c>
      <c r="D40" s="220"/>
      <c r="E40" s="220"/>
      <c r="F40" s="220"/>
      <c r="G40" s="224">
        <v>449</v>
      </c>
      <c r="H40" s="220">
        <v>431</v>
      </c>
      <c r="I40" s="224">
        <v>445</v>
      </c>
      <c r="J40" s="220"/>
      <c r="K40" s="224">
        <v>453</v>
      </c>
      <c r="L40" s="220">
        <v>393</v>
      </c>
      <c r="M40" s="220"/>
      <c r="N40" s="162">
        <f t="shared" si="4"/>
        <v>2621</v>
      </c>
      <c r="O40" s="204">
        <v>6</v>
      </c>
      <c r="P40" s="204">
        <v>2</v>
      </c>
      <c r="Q40" s="204">
        <v>120</v>
      </c>
      <c r="R40" s="204">
        <v>2</v>
      </c>
      <c r="S40" s="204">
        <v>1</v>
      </c>
    </row>
    <row r="41" spans="1:19" s="227" customFormat="1" ht="15.75">
      <c r="A41" s="227" t="s">
        <v>146</v>
      </c>
      <c r="B41" s="227" t="s">
        <v>257</v>
      </c>
      <c r="C41" s="232">
        <v>439</v>
      </c>
      <c r="D41" s="225"/>
      <c r="E41" s="225"/>
      <c r="F41" s="225"/>
      <c r="G41" s="232">
        <v>476</v>
      </c>
      <c r="H41" s="225">
        <v>405</v>
      </c>
      <c r="I41" s="225">
        <v>403</v>
      </c>
      <c r="J41" s="232">
        <v>423</v>
      </c>
      <c r="K41" s="232">
        <v>445</v>
      </c>
      <c r="L41" s="225"/>
      <c r="M41" s="225"/>
      <c r="N41" s="159">
        <f t="shared" si="4"/>
        <v>2591</v>
      </c>
      <c r="O41" s="227">
        <v>6</v>
      </c>
      <c r="P41" s="227">
        <v>2</v>
      </c>
      <c r="Q41" s="227">
        <v>150</v>
      </c>
      <c r="R41" s="227">
        <v>2</v>
      </c>
      <c r="S41" s="227">
        <v>1</v>
      </c>
    </row>
    <row r="42" spans="1:19" s="204" customFormat="1" ht="15.75">
      <c r="A42" s="204" t="s">
        <v>147</v>
      </c>
      <c r="B42" s="220" t="s">
        <v>19</v>
      </c>
      <c r="C42" s="181">
        <v>461</v>
      </c>
      <c r="D42" s="116"/>
      <c r="E42" s="116">
        <v>341</v>
      </c>
      <c r="F42" s="116"/>
      <c r="G42" s="181">
        <v>425</v>
      </c>
      <c r="H42" s="181">
        <v>438</v>
      </c>
      <c r="I42" s="181">
        <v>413</v>
      </c>
      <c r="J42" s="116">
        <v>384</v>
      </c>
      <c r="K42" s="116"/>
      <c r="L42" s="116"/>
      <c r="M42" s="221"/>
      <c r="N42" s="162">
        <f t="shared" si="4"/>
        <v>2462</v>
      </c>
      <c r="O42" s="204">
        <v>6</v>
      </c>
      <c r="P42" s="204">
        <v>2</v>
      </c>
      <c r="Q42" s="204">
        <v>9</v>
      </c>
      <c r="R42" s="204">
        <v>2</v>
      </c>
      <c r="S42" s="204">
        <v>1</v>
      </c>
    </row>
    <row r="43" spans="1:21" s="227" customFormat="1" ht="16.5" thickBot="1">
      <c r="A43" s="227" t="s">
        <v>148</v>
      </c>
      <c r="B43" s="227" t="s">
        <v>21</v>
      </c>
      <c r="C43" s="145"/>
      <c r="D43" s="108">
        <v>201</v>
      </c>
      <c r="E43" s="108">
        <v>342</v>
      </c>
      <c r="F43" s="108">
        <v>160</v>
      </c>
      <c r="G43" s="236">
        <v>495</v>
      </c>
      <c r="H43" s="108"/>
      <c r="I43" s="108"/>
      <c r="J43" s="236">
        <v>427</v>
      </c>
      <c r="K43" s="108">
        <v>386</v>
      </c>
      <c r="L43" s="236">
        <v>424</v>
      </c>
      <c r="M43" s="109"/>
      <c r="N43" s="159">
        <f t="shared" si="4"/>
        <v>2435</v>
      </c>
      <c r="O43" s="227">
        <v>3</v>
      </c>
      <c r="P43" s="227">
        <v>5</v>
      </c>
      <c r="Q43" s="227">
        <v>-35</v>
      </c>
      <c r="R43" s="227">
        <v>0</v>
      </c>
      <c r="U43" s="227">
        <v>1</v>
      </c>
    </row>
    <row r="44" spans="3:21" ht="16.5" thickTop="1">
      <c r="C44" s="7">
        <f>SUM(C29:C43)</f>
        <v>6140</v>
      </c>
      <c r="D44" s="7">
        <f>SUM(D31:D42)</f>
        <v>0</v>
      </c>
      <c r="E44" s="7">
        <f>SUM(E30:E43)</f>
        <v>683</v>
      </c>
      <c r="F44" s="7">
        <f>SUM(F29:F30)+SUM(F42:F42)</f>
        <v>0</v>
      </c>
      <c r="G44" s="7">
        <f>SUM(G29:G41)+SUM(G42:G43)</f>
        <v>6554</v>
      </c>
      <c r="H44" s="7">
        <f>SUM(H29:H43)</f>
        <v>5406</v>
      </c>
      <c r="I44" s="7">
        <f>SUM(I29:I43)</f>
        <v>5450</v>
      </c>
      <c r="J44" s="7">
        <f>SUM(J29)+SUM(J31:J43)</f>
        <v>2016</v>
      </c>
      <c r="K44" s="7">
        <f>SUM(K29:K36)</f>
        <v>3314</v>
      </c>
      <c r="L44" s="7">
        <f>SUM(L29:L43)</f>
        <v>4854</v>
      </c>
      <c r="M44" s="7"/>
      <c r="O44" s="1">
        <f>SUM(O29:O43)</f>
        <v>60</v>
      </c>
      <c r="P44" s="1">
        <f>SUM(P29:P43)</f>
        <v>60</v>
      </c>
      <c r="Q44" s="1">
        <f>SUM(Q29:Q43)</f>
        <v>181</v>
      </c>
      <c r="R44" s="1">
        <f>SUM(R29:R43)</f>
        <v>15</v>
      </c>
      <c r="S44" s="6">
        <f>SUM(S29:S43)+S21</f>
        <v>13</v>
      </c>
      <c r="T44" s="6">
        <f>SUM(T29:T43)+T21</f>
        <v>2</v>
      </c>
      <c r="U44" s="6">
        <f>SUM(U29:U43)+U21</f>
        <v>15</v>
      </c>
    </row>
    <row r="45" spans="2:12" ht="15.75">
      <c r="B45" s="36" t="s">
        <v>213</v>
      </c>
      <c r="C45" s="1">
        <f>COUNT(C29:C43)</f>
        <v>14</v>
      </c>
      <c r="D45" s="1">
        <f>COUNT(D31:D42)</f>
        <v>0</v>
      </c>
      <c r="E45" s="1">
        <f>COUNT(E30:E43)</f>
        <v>2</v>
      </c>
      <c r="F45" s="1">
        <f>COUNT(F29:F30)+COUNT(F42:F42)</f>
        <v>0</v>
      </c>
      <c r="G45" s="1">
        <f>COUNT(G29:G41)+COUNT(G42:G43)</f>
        <v>14</v>
      </c>
      <c r="H45" s="1">
        <f>COUNT(H29:H43)</f>
        <v>13</v>
      </c>
      <c r="I45" s="1">
        <f>COUNT(I29:I43)</f>
        <v>13</v>
      </c>
      <c r="J45" s="1">
        <f>COUNT(J29)+COUNT(J31:J43)</f>
        <v>5</v>
      </c>
      <c r="K45" s="1">
        <f>COUNT(K29:K36)</f>
        <v>8</v>
      </c>
      <c r="L45" s="1">
        <f>COUNT(L29:L43)</f>
        <v>12</v>
      </c>
    </row>
    <row r="46" spans="2:21" ht="31.5">
      <c r="B46" s="11" t="s">
        <v>210</v>
      </c>
      <c r="C46" s="16">
        <f>C44/C45</f>
        <v>438.57142857142856</v>
      </c>
      <c r="D46" s="16" t="e">
        <f aca="true" t="shared" si="5" ref="D46:L46">D44/D45</f>
        <v>#DIV/0!</v>
      </c>
      <c r="E46" s="16">
        <f t="shared" si="5"/>
        <v>341.5</v>
      </c>
      <c r="F46" s="16" t="e">
        <f>F44/F45</f>
        <v>#DIV/0!</v>
      </c>
      <c r="G46" s="16">
        <f>G44/G45</f>
        <v>468.14285714285717</v>
      </c>
      <c r="H46" s="16">
        <f t="shared" si="5"/>
        <v>415.84615384615387</v>
      </c>
      <c r="I46" s="16">
        <f t="shared" si="5"/>
        <v>419.2307692307692</v>
      </c>
      <c r="J46" s="16">
        <f t="shared" si="5"/>
        <v>403.2</v>
      </c>
      <c r="K46" s="16">
        <f t="shared" si="5"/>
        <v>414.25</v>
      </c>
      <c r="L46" s="16">
        <f t="shared" si="5"/>
        <v>404.5</v>
      </c>
      <c r="M46" s="16"/>
      <c r="N46" s="3" t="s">
        <v>27</v>
      </c>
      <c r="O46" s="308" t="s">
        <v>102</v>
      </c>
      <c r="P46" s="308"/>
      <c r="Q46" s="3" t="s">
        <v>28</v>
      </c>
      <c r="R46" s="10" t="s">
        <v>103</v>
      </c>
      <c r="T46" s="40" t="s">
        <v>111</v>
      </c>
      <c r="U46" s="40" t="s">
        <v>192</v>
      </c>
    </row>
    <row r="47" spans="14:21" ht="15.75">
      <c r="N47" s="6">
        <f>SUM(N29:N43)+N24</f>
        <v>76058</v>
      </c>
      <c r="O47" s="6">
        <f>+O24</f>
        <v>56</v>
      </c>
      <c r="P47" s="6">
        <f>+P24</f>
        <v>64</v>
      </c>
      <c r="Q47" s="6">
        <f>+Q24</f>
        <v>-102</v>
      </c>
      <c r="R47" s="6">
        <f>+R24</f>
        <v>13</v>
      </c>
      <c r="T47" s="2">
        <f>O47-P47</f>
        <v>-8</v>
      </c>
      <c r="U47" s="26">
        <f>SUM(S44:U44)</f>
        <v>30</v>
      </c>
    </row>
    <row r="49" spans="14:15" ht="15.75">
      <c r="N49" s="1" t="s">
        <v>113</v>
      </c>
      <c r="O49" s="18">
        <f>N47/U47</f>
        <v>2535.266666666667</v>
      </c>
    </row>
  </sheetData>
  <sheetProtection/>
  <mergeCells count="9">
    <mergeCell ref="E1:H1"/>
    <mergeCell ref="J1:K1"/>
    <mergeCell ref="O46:P46"/>
    <mergeCell ref="K25:L25"/>
    <mergeCell ref="C4:M4"/>
    <mergeCell ref="O4:P4"/>
    <mergeCell ref="C25:D25"/>
    <mergeCell ref="O23:P23"/>
    <mergeCell ref="H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Z50"/>
  <sheetViews>
    <sheetView zoomScale="90" zoomScaleNormal="90" zoomScalePageLayoutView="0" workbookViewId="0" topLeftCell="B24">
      <selection activeCell="N44" sqref="N44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75390625" style="1" customWidth="1"/>
    <col min="4" max="4" width="9.375" style="1" customWidth="1"/>
    <col min="5" max="5" width="8.625" style="1" customWidth="1"/>
    <col min="6" max="9" width="10.25390625" style="1" customWidth="1"/>
    <col min="10" max="10" width="9.25390625" style="1" customWidth="1"/>
    <col min="11" max="11" width="10.75390625" style="1" customWidth="1"/>
    <col min="12" max="12" width="10.375" style="1" customWidth="1"/>
    <col min="13" max="13" width="11.375" style="1" customWidth="1"/>
    <col min="14" max="14" width="8.875" style="1" customWidth="1"/>
    <col min="15" max="15" width="9.375" style="1" customWidth="1"/>
    <col min="16" max="16" width="18.375" style="1" bestFit="1" customWidth="1"/>
    <col min="17" max="17" width="11.25390625" style="1" customWidth="1"/>
    <col min="18" max="18" width="10.375" style="1" customWidth="1"/>
    <col min="19" max="19" width="13.375" style="1" customWidth="1"/>
    <col min="20" max="20" width="11.00390625" style="1" customWidth="1"/>
    <col min="21" max="21" width="9.25390625" style="0" bestFit="1" customWidth="1"/>
    <col min="22" max="22" width="12.875" style="0" customWidth="1"/>
    <col min="23" max="23" width="12.125" style="0" customWidth="1"/>
  </cols>
  <sheetData>
    <row r="1" spans="1:17" ht="15.75">
      <c r="A1" s="27" t="s">
        <v>125</v>
      </c>
      <c r="B1" s="28"/>
      <c r="C1" s="28" t="s">
        <v>226</v>
      </c>
      <c r="D1" s="28" t="s">
        <v>123</v>
      </c>
      <c r="E1" s="306" t="s">
        <v>124</v>
      </c>
      <c r="F1" s="306"/>
      <c r="G1" s="28"/>
      <c r="H1" s="28"/>
      <c r="I1" s="28"/>
      <c r="K1" s="301" t="s">
        <v>134</v>
      </c>
      <c r="L1" s="301"/>
      <c r="M1" s="11" t="s">
        <v>135</v>
      </c>
      <c r="N1" s="13" t="s">
        <v>111</v>
      </c>
      <c r="P1" s="1" t="s">
        <v>113</v>
      </c>
      <c r="Q1" s="18">
        <f>P24/W24</f>
        <v>2481.6666666666665</v>
      </c>
    </row>
    <row r="2" spans="11:17" ht="15.75">
      <c r="K2" s="1">
        <f>Q24+Q45</f>
        <v>86</v>
      </c>
      <c r="L2" s="1">
        <f>R24+R45</f>
        <v>154</v>
      </c>
      <c r="M2" s="1">
        <f>T24+T45</f>
        <v>15</v>
      </c>
      <c r="N2" s="1">
        <f>K2-L2</f>
        <v>-68</v>
      </c>
      <c r="P2" s="1" t="s">
        <v>198</v>
      </c>
      <c r="Q2" s="6">
        <f>P6+P8+P10+P12+P13+P15+P17+P19+P32+P34+P36+P38+P40+P42+P44</f>
        <v>36779</v>
      </c>
    </row>
    <row r="4" spans="3:23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Q4" s="308" t="s">
        <v>25</v>
      </c>
      <c r="R4" s="308"/>
      <c r="U4" s="2"/>
      <c r="V4" s="2"/>
      <c r="W4" s="2"/>
    </row>
    <row r="5" spans="2:23" ht="32.25" thickBot="1">
      <c r="B5" s="3" t="s">
        <v>22</v>
      </c>
      <c r="C5" s="8" t="s">
        <v>75</v>
      </c>
      <c r="D5" s="8" t="s">
        <v>76</v>
      </c>
      <c r="E5" s="8" t="s">
        <v>77</v>
      </c>
      <c r="F5" s="8" t="s">
        <v>223</v>
      </c>
      <c r="G5" s="173" t="s">
        <v>268</v>
      </c>
      <c r="H5" s="8" t="s">
        <v>269</v>
      </c>
      <c r="I5" s="172" t="s">
        <v>240</v>
      </c>
      <c r="J5" s="8" t="s">
        <v>173</v>
      </c>
      <c r="K5" s="8" t="s">
        <v>90</v>
      </c>
      <c r="L5" s="8" t="s">
        <v>89</v>
      </c>
      <c r="M5" s="8" t="s">
        <v>114</v>
      </c>
      <c r="N5" s="8" t="s">
        <v>170</v>
      </c>
      <c r="O5" s="8" t="s">
        <v>224</v>
      </c>
      <c r="P5" s="11" t="s">
        <v>27</v>
      </c>
      <c r="Q5" s="11" t="s">
        <v>19</v>
      </c>
      <c r="R5" s="11" t="s">
        <v>26</v>
      </c>
      <c r="S5" s="11" t="s">
        <v>28</v>
      </c>
      <c r="T5" s="10" t="s">
        <v>101</v>
      </c>
      <c r="U5" s="2" t="s">
        <v>162</v>
      </c>
      <c r="V5" s="2" t="s">
        <v>163</v>
      </c>
      <c r="W5" s="2" t="s">
        <v>164</v>
      </c>
    </row>
    <row r="6" spans="1:23" s="115" customFormat="1" ht="15.75">
      <c r="A6" s="113" t="s">
        <v>0</v>
      </c>
      <c r="B6" s="114" t="s">
        <v>178</v>
      </c>
      <c r="C6" s="114">
        <v>372</v>
      </c>
      <c r="D6" s="114">
        <v>374</v>
      </c>
      <c r="E6" s="114"/>
      <c r="F6" s="114"/>
      <c r="G6" s="177">
        <v>454</v>
      </c>
      <c r="H6" s="177">
        <v>428</v>
      </c>
      <c r="I6" s="114"/>
      <c r="J6" s="114">
        <v>395</v>
      </c>
      <c r="K6" s="114"/>
      <c r="L6" s="114"/>
      <c r="M6" s="114"/>
      <c r="N6" s="114"/>
      <c r="O6" s="177">
        <v>430</v>
      </c>
      <c r="P6" s="167">
        <f aca="true" t="shared" si="0" ref="P6:P20">SUM(C6:O6)</f>
        <v>2453</v>
      </c>
      <c r="Q6" s="113">
        <v>3</v>
      </c>
      <c r="R6" s="113">
        <v>5</v>
      </c>
      <c r="S6" s="118">
        <v>-127</v>
      </c>
      <c r="T6" s="113">
        <v>0</v>
      </c>
      <c r="U6" s="119"/>
      <c r="V6" s="119"/>
      <c r="W6" s="119">
        <v>1</v>
      </c>
    </row>
    <row r="7" spans="1:23" s="97" customFormat="1" ht="15.75">
      <c r="A7" s="95" t="s">
        <v>1</v>
      </c>
      <c r="B7" s="100" t="s">
        <v>17</v>
      </c>
      <c r="C7" s="96"/>
      <c r="D7" s="96"/>
      <c r="E7" s="96"/>
      <c r="F7" s="96">
        <v>168</v>
      </c>
      <c r="G7" s="179">
        <v>437</v>
      </c>
      <c r="H7" s="96">
        <v>427</v>
      </c>
      <c r="I7" s="96">
        <v>417</v>
      </c>
      <c r="J7" s="96">
        <v>406</v>
      </c>
      <c r="K7" s="96"/>
      <c r="L7" s="96"/>
      <c r="M7" s="96"/>
      <c r="N7" s="96">
        <v>177</v>
      </c>
      <c r="O7" s="179">
        <v>473</v>
      </c>
      <c r="P7" s="163">
        <f t="shared" si="0"/>
        <v>2505</v>
      </c>
      <c r="Q7" s="95">
        <v>2</v>
      </c>
      <c r="R7" s="95">
        <v>6</v>
      </c>
      <c r="S7" s="103">
        <f>P7-2616</f>
        <v>-111</v>
      </c>
      <c r="T7" s="95">
        <v>0</v>
      </c>
      <c r="U7" s="104"/>
      <c r="V7" s="104"/>
      <c r="W7" s="104">
        <v>1</v>
      </c>
    </row>
    <row r="8" spans="1:23" s="115" customFormat="1" ht="15.75">
      <c r="A8" s="113" t="s">
        <v>2</v>
      </c>
      <c r="B8" s="114" t="s">
        <v>180</v>
      </c>
      <c r="C8" s="114">
        <v>366</v>
      </c>
      <c r="D8" s="114"/>
      <c r="E8" s="114"/>
      <c r="F8" s="114"/>
      <c r="G8" s="114">
        <v>369</v>
      </c>
      <c r="H8" s="177">
        <v>385</v>
      </c>
      <c r="I8" s="114"/>
      <c r="J8" s="177">
        <v>401</v>
      </c>
      <c r="K8" s="114">
        <v>379</v>
      </c>
      <c r="L8" s="114"/>
      <c r="M8" s="114"/>
      <c r="N8" s="114"/>
      <c r="O8" s="114">
        <v>369</v>
      </c>
      <c r="P8" s="167">
        <f t="shared" si="0"/>
        <v>2269</v>
      </c>
      <c r="Q8" s="113">
        <v>2</v>
      </c>
      <c r="R8" s="113">
        <v>6</v>
      </c>
      <c r="S8" s="113">
        <v>-35</v>
      </c>
      <c r="T8" s="113">
        <v>0</v>
      </c>
      <c r="U8" s="119"/>
      <c r="V8" s="119"/>
      <c r="W8" s="119">
        <v>1</v>
      </c>
    </row>
    <row r="9" spans="1:23" s="97" customFormat="1" ht="15.75">
      <c r="A9" s="95" t="s">
        <v>3</v>
      </c>
      <c r="B9" s="100" t="s">
        <v>23</v>
      </c>
      <c r="C9" s="96"/>
      <c r="D9" s="96">
        <v>408</v>
      </c>
      <c r="E9" s="96"/>
      <c r="F9" s="96">
        <v>401</v>
      </c>
      <c r="G9" s="96">
        <v>399</v>
      </c>
      <c r="H9" s="96"/>
      <c r="I9" s="179">
        <v>448</v>
      </c>
      <c r="J9" s="96">
        <v>403</v>
      </c>
      <c r="K9" s="96"/>
      <c r="L9" s="96"/>
      <c r="M9" s="96"/>
      <c r="N9" s="179">
        <v>423</v>
      </c>
      <c r="O9" s="96"/>
      <c r="P9" s="163">
        <f t="shared" si="0"/>
        <v>2482</v>
      </c>
      <c r="Q9" s="95">
        <v>2</v>
      </c>
      <c r="R9" s="95">
        <v>6</v>
      </c>
      <c r="S9" s="103">
        <v>-39</v>
      </c>
      <c r="T9" s="95">
        <v>0</v>
      </c>
      <c r="U9" s="104"/>
      <c r="V9" s="104"/>
      <c r="W9" s="104">
        <v>1</v>
      </c>
    </row>
    <row r="10" spans="1:23" s="115" customFormat="1" ht="15.75">
      <c r="A10" s="113" t="s">
        <v>4</v>
      </c>
      <c r="B10" s="114" t="s">
        <v>219</v>
      </c>
      <c r="C10" s="116">
        <v>424</v>
      </c>
      <c r="D10" s="116"/>
      <c r="E10" s="114"/>
      <c r="F10" s="114"/>
      <c r="G10" s="114"/>
      <c r="H10" s="114"/>
      <c r="I10" s="114"/>
      <c r="J10" s="177">
        <v>441</v>
      </c>
      <c r="K10" s="114">
        <v>405</v>
      </c>
      <c r="L10" s="181">
        <v>431</v>
      </c>
      <c r="M10" s="116"/>
      <c r="N10" s="116">
        <v>376</v>
      </c>
      <c r="O10" s="116">
        <v>430</v>
      </c>
      <c r="P10" s="167">
        <f t="shared" si="0"/>
        <v>2507</v>
      </c>
      <c r="Q10" s="113">
        <v>2</v>
      </c>
      <c r="R10" s="113">
        <v>6</v>
      </c>
      <c r="S10" s="113">
        <v>-149</v>
      </c>
      <c r="T10" s="113">
        <v>0</v>
      </c>
      <c r="U10" s="119"/>
      <c r="V10" s="119"/>
      <c r="W10" s="119">
        <v>1</v>
      </c>
    </row>
    <row r="11" spans="1:23" s="97" customFormat="1" ht="15.75">
      <c r="A11" s="95" t="s">
        <v>5</v>
      </c>
      <c r="B11" s="100" t="s">
        <v>220</v>
      </c>
      <c r="C11" s="96">
        <v>427</v>
      </c>
      <c r="D11" s="96"/>
      <c r="E11" s="96">
        <v>388</v>
      </c>
      <c r="G11" s="96"/>
      <c r="H11" s="179">
        <v>437</v>
      </c>
      <c r="I11" s="179">
        <v>443</v>
      </c>
      <c r="J11" s="179">
        <v>451</v>
      </c>
      <c r="K11" s="96"/>
      <c r="L11" s="96"/>
      <c r="M11" s="96"/>
      <c r="N11" s="96"/>
      <c r="O11" s="96">
        <v>425</v>
      </c>
      <c r="P11" s="163">
        <f t="shared" si="0"/>
        <v>2571</v>
      </c>
      <c r="Q11" s="95">
        <v>5</v>
      </c>
      <c r="R11" s="95">
        <v>3</v>
      </c>
      <c r="S11" s="103">
        <v>46</v>
      </c>
      <c r="T11" s="95">
        <v>2</v>
      </c>
      <c r="U11" s="104">
        <v>1</v>
      </c>
      <c r="V11" s="104"/>
      <c r="W11" s="104"/>
    </row>
    <row r="12" spans="1:23" s="115" customFormat="1" ht="15.75">
      <c r="A12" s="113" t="s">
        <v>6</v>
      </c>
      <c r="B12" s="114" t="s">
        <v>18</v>
      </c>
      <c r="C12" s="114">
        <v>396</v>
      </c>
      <c r="D12" s="114"/>
      <c r="E12" s="114"/>
      <c r="F12" s="114"/>
      <c r="G12" s="177">
        <v>438</v>
      </c>
      <c r="H12" s="177">
        <v>418</v>
      </c>
      <c r="I12" s="114"/>
      <c r="J12" s="114">
        <v>382</v>
      </c>
      <c r="K12" s="114"/>
      <c r="L12" s="114">
        <v>415</v>
      </c>
      <c r="M12" s="114"/>
      <c r="N12" s="114"/>
      <c r="O12" s="177">
        <v>436</v>
      </c>
      <c r="P12" s="167">
        <f t="shared" si="0"/>
        <v>2485</v>
      </c>
      <c r="Q12" s="113">
        <v>5</v>
      </c>
      <c r="R12" s="113">
        <v>3</v>
      </c>
      <c r="S12" s="118">
        <v>7</v>
      </c>
      <c r="T12" s="113">
        <v>2</v>
      </c>
      <c r="U12" s="119">
        <v>1</v>
      </c>
      <c r="V12" s="119"/>
      <c r="W12" s="119"/>
    </row>
    <row r="13" spans="1:23" s="115" customFormat="1" ht="15.75">
      <c r="A13" s="113" t="s">
        <v>7</v>
      </c>
      <c r="B13" s="114" t="s">
        <v>257</v>
      </c>
      <c r="C13" s="114">
        <v>403</v>
      </c>
      <c r="D13" s="114"/>
      <c r="E13" s="114"/>
      <c r="F13" s="114"/>
      <c r="G13" s="114">
        <v>401</v>
      </c>
      <c r="H13" s="177">
        <v>412</v>
      </c>
      <c r="I13" s="177">
        <v>445</v>
      </c>
      <c r="J13" s="114"/>
      <c r="K13" s="114"/>
      <c r="L13" s="114">
        <v>407</v>
      </c>
      <c r="M13" s="114"/>
      <c r="N13" s="114"/>
      <c r="O13" s="177">
        <v>432</v>
      </c>
      <c r="P13" s="167">
        <f t="shared" si="0"/>
        <v>2500</v>
      </c>
      <c r="Q13" s="113">
        <v>5</v>
      </c>
      <c r="R13" s="113">
        <v>3</v>
      </c>
      <c r="S13" s="118">
        <f>P13-2438</f>
        <v>62</v>
      </c>
      <c r="T13" s="113">
        <v>2</v>
      </c>
      <c r="U13" s="119">
        <v>1</v>
      </c>
      <c r="V13" s="119"/>
      <c r="W13" s="119"/>
    </row>
    <row r="14" spans="1:23" s="97" customFormat="1" ht="15.75">
      <c r="A14" s="95" t="s">
        <v>8</v>
      </c>
      <c r="B14" s="96" t="s">
        <v>258</v>
      </c>
      <c r="C14" s="179">
        <v>433</v>
      </c>
      <c r="D14" s="96"/>
      <c r="E14" s="96"/>
      <c r="F14" s="96">
        <v>420</v>
      </c>
      <c r="G14" s="96">
        <v>429</v>
      </c>
      <c r="H14" s="96"/>
      <c r="I14" s="96"/>
      <c r="J14" s="179">
        <v>443</v>
      </c>
      <c r="K14" s="96"/>
      <c r="L14" s="96">
        <v>415</v>
      </c>
      <c r="M14" s="96"/>
      <c r="N14" s="96"/>
      <c r="O14" s="96">
        <v>405</v>
      </c>
      <c r="P14" s="163">
        <f t="shared" si="0"/>
        <v>2545</v>
      </c>
      <c r="Q14" s="95">
        <v>2</v>
      </c>
      <c r="R14" s="95">
        <v>6</v>
      </c>
      <c r="S14" s="103">
        <v>-45</v>
      </c>
      <c r="T14" s="95">
        <v>0</v>
      </c>
      <c r="U14" s="104"/>
      <c r="V14" s="104"/>
      <c r="W14" s="104">
        <v>1</v>
      </c>
    </row>
    <row r="15" spans="1:23" s="115" customFormat="1" ht="15.75">
      <c r="A15" s="113" t="s">
        <v>9</v>
      </c>
      <c r="B15" s="116" t="s">
        <v>218</v>
      </c>
      <c r="C15" s="209">
        <v>411</v>
      </c>
      <c r="D15" s="209"/>
      <c r="E15" s="209"/>
      <c r="F15" s="209"/>
      <c r="G15" s="213">
        <v>430</v>
      </c>
      <c r="H15" s="209"/>
      <c r="I15" s="213">
        <v>420</v>
      </c>
      <c r="J15" s="213">
        <v>435</v>
      </c>
      <c r="K15" s="209"/>
      <c r="L15" s="209">
        <v>369</v>
      </c>
      <c r="M15" s="209"/>
      <c r="N15" s="209"/>
      <c r="O15" s="213">
        <v>421</v>
      </c>
      <c r="P15" s="212">
        <v>2486</v>
      </c>
      <c r="Q15" s="208">
        <v>4</v>
      </c>
      <c r="R15" s="208">
        <v>4</v>
      </c>
      <c r="S15" s="210">
        <v>-8</v>
      </c>
      <c r="T15" s="208">
        <v>1</v>
      </c>
      <c r="U15" s="211"/>
      <c r="V15" s="211">
        <v>1</v>
      </c>
      <c r="W15" s="211"/>
    </row>
    <row r="16" spans="1:23" s="97" customFormat="1" ht="15.75">
      <c r="A16" s="95" t="s">
        <v>10</v>
      </c>
      <c r="B16" s="100" t="s">
        <v>15</v>
      </c>
      <c r="C16" s="96"/>
      <c r="D16" s="96"/>
      <c r="E16" s="96"/>
      <c r="F16" s="96">
        <v>381</v>
      </c>
      <c r="G16" s="232">
        <v>433</v>
      </c>
      <c r="H16" s="96"/>
      <c r="I16" s="96"/>
      <c r="J16" s="96">
        <v>413</v>
      </c>
      <c r="K16" s="96">
        <v>412</v>
      </c>
      <c r="L16" s="96"/>
      <c r="M16" s="96"/>
      <c r="N16" s="96">
        <v>407</v>
      </c>
      <c r="O16" s="232">
        <v>445</v>
      </c>
      <c r="P16" s="163">
        <f t="shared" si="0"/>
        <v>2491</v>
      </c>
      <c r="Q16" s="95">
        <v>2</v>
      </c>
      <c r="R16" s="95">
        <v>6</v>
      </c>
      <c r="S16" s="103">
        <v>-122</v>
      </c>
      <c r="T16" s="95">
        <v>0</v>
      </c>
      <c r="U16" s="104"/>
      <c r="V16" s="104"/>
      <c r="W16" s="104">
        <v>1</v>
      </c>
    </row>
    <row r="17" spans="1:23" s="115" customFormat="1" ht="15.75">
      <c r="A17" s="113" t="s">
        <v>11</v>
      </c>
      <c r="B17" s="114" t="s">
        <v>177</v>
      </c>
      <c r="C17" s="114">
        <v>377</v>
      </c>
      <c r="D17" s="114"/>
      <c r="E17" s="114">
        <v>182</v>
      </c>
      <c r="F17" s="114"/>
      <c r="G17" s="114"/>
      <c r="H17" s="114"/>
      <c r="I17" s="224">
        <v>418</v>
      </c>
      <c r="J17" s="114">
        <v>428</v>
      </c>
      <c r="K17" s="114">
        <v>397</v>
      </c>
      <c r="L17" s="114"/>
      <c r="M17" s="114"/>
      <c r="N17" s="114">
        <v>181</v>
      </c>
      <c r="O17" s="224">
        <v>419</v>
      </c>
      <c r="P17" s="167">
        <f t="shared" si="0"/>
        <v>2402</v>
      </c>
      <c r="Q17" s="113">
        <v>3</v>
      </c>
      <c r="R17" s="113">
        <v>5</v>
      </c>
      <c r="S17" s="113">
        <v>-112</v>
      </c>
      <c r="T17" s="113">
        <v>0</v>
      </c>
      <c r="U17" s="119"/>
      <c r="V17" s="119"/>
      <c r="W17" s="119">
        <v>1</v>
      </c>
    </row>
    <row r="18" spans="1:23" s="97" customFormat="1" ht="15.75">
      <c r="A18" s="95" t="s">
        <v>12</v>
      </c>
      <c r="B18" s="96" t="s">
        <v>179</v>
      </c>
      <c r="C18" s="96"/>
      <c r="D18" s="96">
        <v>354</v>
      </c>
      <c r="E18" s="96"/>
      <c r="F18" s="232">
        <v>442</v>
      </c>
      <c r="G18" s="96"/>
      <c r="H18" s="96"/>
      <c r="I18" s="96"/>
      <c r="J18" s="232">
        <v>442</v>
      </c>
      <c r="K18" s="96">
        <v>419</v>
      </c>
      <c r="L18" s="232">
        <v>442</v>
      </c>
      <c r="M18" s="96"/>
      <c r="N18" s="96">
        <v>402</v>
      </c>
      <c r="O18" s="96"/>
      <c r="P18" s="163">
        <f t="shared" si="0"/>
        <v>2501</v>
      </c>
      <c r="Q18" s="95">
        <v>3</v>
      </c>
      <c r="R18" s="95">
        <v>5</v>
      </c>
      <c r="S18" s="103">
        <v>-158</v>
      </c>
      <c r="T18" s="95">
        <v>0</v>
      </c>
      <c r="U18" s="104"/>
      <c r="V18" s="104"/>
      <c r="W18" s="104">
        <v>1</v>
      </c>
    </row>
    <row r="19" spans="1:23" s="115" customFormat="1" ht="15.75">
      <c r="A19" s="113" t="s">
        <v>13</v>
      </c>
      <c r="B19" s="114" t="s">
        <v>20</v>
      </c>
      <c r="C19" s="224">
        <v>430</v>
      </c>
      <c r="D19" s="224">
        <v>452</v>
      </c>
      <c r="E19" s="114"/>
      <c r="F19" s="224">
        <v>426</v>
      </c>
      <c r="G19" s="114"/>
      <c r="H19" s="114"/>
      <c r="I19" s="114"/>
      <c r="J19" s="114">
        <v>426</v>
      </c>
      <c r="K19" s="114">
        <v>422</v>
      </c>
      <c r="L19" s="114"/>
      <c r="M19" s="114"/>
      <c r="N19" s="114">
        <v>391</v>
      </c>
      <c r="O19" s="114"/>
      <c r="P19" s="167">
        <f t="shared" si="0"/>
        <v>2547</v>
      </c>
      <c r="Q19" s="113">
        <v>5</v>
      </c>
      <c r="R19" s="113">
        <v>3</v>
      </c>
      <c r="S19" s="118">
        <v>39</v>
      </c>
      <c r="T19" s="113">
        <v>2</v>
      </c>
      <c r="U19" s="119">
        <v>1</v>
      </c>
      <c r="V19" s="119"/>
      <c r="W19" s="119"/>
    </row>
    <row r="20" spans="1:23" s="100" customFormat="1" ht="16.5" thickBot="1">
      <c r="A20" s="100" t="s">
        <v>14</v>
      </c>
      <c r="B20" s="96" t="s">
        <v>259</v>
      </c>
      <c r="C20" s="108">
        <v>400</v>
      </c>
      <c r="D20" s="108">
        <v>405</v>
      </c>
      <c r="E20" s="108"/>
      <c r="F20" s="108">
        <v>414</v>
      </c>
      <c r="G20" s="108">
        <v>410</v>
      </c>
      <c r="H20" s="108"/>
      <c r="I20" s="108"/>
      <c r="J20" s="108">
        <v>400</v>
      </c>
      <c r="K20" s="236">
        <v>452</v>
      </c>
      <c r="L20" s="108"/>
      <c r="M20" s="108"/>
      <c r="N20" s="108"/>
      <c r="O20" s="108"/>
      <c r="P20" s="165">
        <f t="shared" si="0"/>
        <v>2481</v>
      </c>
      <c r="Q20" s="145">
        <v>1</v>
      </c>
      <c r="R20" s="145">
        <v>7</v>
      </c>
      <c r="S20" s="145">
        <v>-148</v>
      </c>
      <c r="T20" s="145">
        <v>0</v>
      </c>
      <c r="U20" s="145"/>
      <c r="V20" s="145"/>
      <c r="W20" s="145">
        <v>1</v>
      </c>
    </row>
    <row r="21" spans="3:23" ht="16.5" thickTop="1">
      <c r="C21" s="6">
        <f>SUM(C6:C20)</f>
        <v>4439</v>
      </c>
      <c r="D21" s="6">
        <f aca="true" t="shared" si="1" ref="D21:O21">SUM(D6:D20)</f>
        <v>1993</v>
      </c>
      <c r="E21" s="6">
        <f>SUM(E6:E16)+SUM(E18:E20)</f>
        <v>388</v>
      </c>
      <c r="F21" s="6">
        <f>SUM(F8:F20)</f>
        <v>2484</v>
      </c>
      <c r="G21" s="6">
        <f>SUM(G6:G20)</f>
        <v>4200</v>
      </c>
      <c r="H21" s="6">
        <f t="shared" si="1"/>
        <v>2507</v>
      </c>
      <c r="I21" s="6">
        <f t="shared" si="1"/>
        <v>2591</v>
      </c>
      <c r="J21" s="6">
        <f t="shared" si="1"/>
        <v>5866</v>
      </c>
      <c r="K21" s="6">
        <f t="shared" si="1"/>
        <v>2886</v>
      </c>
      <c r="L21" s="6">
        <f t="shared" si="1"/>
        <v>2479</v>
      </c>
      <c r="M21" s="6">
        <f t="shared" si="1"/>
        <v>0</v>
      </c>
      <c r="N21" s="6">
        <f>SUM(N8:N16)+SUM(N18:N20)</f>
        <v>1999</v>
      </c>
      <c r="O21" s="6">
        <f t="shared" si="1"/>
        <v>4685</v>
      </c>
      <c r="U21" s="2">
        <f>SUM(U6:U20)</f>
        <v>4</v>
      </c>
      <c r="V21" s="2">
        <f>SUM(V6:V20)</f>
        <v>1</v>
      </c>
      <c r="W21" s="2">
        <f>SUM(W6:W20)</f>
        <v>10</v>
      </c>
    </row>
    <row r="22" spans="2:15" ht="15.75">
      <c r="B22" s="1" t="s">
        <v>194</v>
      </c>
      <c r="C22" s="6">
        <f>COUNT(C6:C20)</f>
        <v>11</v>
      </c>
      <c r="D22" s="6">
        <f aca="true" t="shared" si="2" ref="D22:O22">COUNT(D6:D20)</f>
        <v>5</v>
      </c>
      <c r="E22" s="6">
        <f>COUNT(E6:E16)+COUNT(E18:E20)</f>
        <v>1</v>
      </c>
      <c r="F22" s="6">
        <f>COUNT(F8:F20)</f>
        <v>6</v>
      </c>
      <c r="G22" s="6">
        <f>COUNT(G6:G20)</f>
        <v>10</v>
      </c>
      <c r="H22" s="6">
        <f t="shared" si="2"/>
        <v>6</v>
      </c>
      <c r="I22" s="6">
        <f t="shared" si="2"/>
        <v>6</v>
      </c>
      <c r="J22" s="6">
        <f t="shared" si="2"/>
        <v>14</v>
      </c>
      <c r="K22" s="6">
        <f t="shared" si="2"/>
        <v>7</v>
      </c>
      <c r="L22" s="6">
        <f t="shared" si="2"/>
        <v>6</v>
      </c>
      <c r="M22" s="6">
        <f t="shared" si="2"/>
        <v>0</v>
      </c>
      <c r="N22" s="6">
        <f>COUNT(N8:N16)+COUNT(N18:N20)</f>
        <v>5</v>
      </c>
      <c r="O22" s="6">
        <f t="shared" si="2"/>
        <v>11</v>
      </c>
    </row>
    <row r="23" spans="2:23" ht="31.5">
      <c r="B23" s="11" t="s">
        <v>112</v>
      </c>
      <c r="C23" s="16">
        <f>AVERAGE(C6:C20)</f>
        <v>403.54545454545456</v>
      </c>
      <c r="D23" s="16">
        <f>D21/D22</f>
        <v>398.6</v>
      </c>
      <c r="E23" s="16">
        <f>E21/E22</f>
        <v>388</v>
      </c>
      <c r="F23" s="16">
        <f>F21/F22</f>
        <v>414</v>
      </c>
      <c r="G23" s="16">
        <f>G21/G22</f>
        <v>420</v>
      </c>
      <c r="H23" s="16">
        <f>H21/H22</f>
        <v>417.8333333333333</v>
      </c>
      <c r="I23" s="16">
        <f>AVERAGE(I6:I20)</f>
        <v>431.8333333333333</v>
      </c>
      <c r="J23" s="16">
        <f>AVERAGE(J6:J20)</f>
        <v>419</v>
      </c>
      <c r="K23" s="16">
        <f>K21/K22</f>
        <v>412.2857142857143</v>
      </c>
      <c r="L23" s="16">
        <f>L21/L22</f>
        <v>413.1666666666667</v>
      </c>
      <c r="M23" s="16"/>
      <c r="N23" s="16">
        <f>N21/N22</f>
        <v>399.8</v>
      </c>
      <c r="O23" s="16">
        <f>O21/O22</f>
        <v>425.90909090909093</v>
      </c>
      <c r="P23" s="3" t="s">
        <v>27</v>
      </c>
      <c r="Q23" s="308" t="s">
        <v>102</v>
      </c>
      <c r="R23" s="308"/>
      <c r="S23" s="3" t="s">
        <v>28</v>
      </c>
      <c r="T23" s="10" t="s">
        <v>103</v>
      </c>
      <c r="V23" s="40" t="s">
        <v>111</v>
      </c>
      <c r="W23" s="40" t="s">
        <v>192</v>
      </c>
    </row>
    <row r="24" spans="16:23" ht="15.75">
      <c r="P24" s="6">
        <f>SUM(P6:P20)</f>
        <v>37225</v>
      </c>
      <c r="Q24" s="1">
        <f>SUM(Q6:Q20)</f>
        <v>46</v>
      </c>
      <c r="R24" s="1">
        <f>SUM(R6:R20)</f>
        <v>74</v>
      </c>
      <c r="S24" s="1">
        <f>SUM(S6:S20)</f>
        <v>-900</v>
      </c>
      <c r="T24" s="1">
        <f>SUM(T6:T20)</f>
        <v>9</v>
      </c>
      <c r="V24" s="2">
        <f>Q24-R24</f>
        <v>-28</v>
      </c>
      <c r="W24" s="2">
        <f>SUM(U21:W21)</f>
        <v>15</v>
      </c>
    </row>
    <row r="26" spans="3:13" ht="15.75">
      <c r="C26" s="309" t="s">
        <v>33</v>
      </c>
      <c r="D26" s="309"/>
      <c r="F26" s="311" t="s">
        <v>117</v>
      </c>
      <c r="G26" s="311"/>
      <c r="H26" s="311"/>
      <c r="I26" s="311"/>
      <c r="J26" s="311"/>
      <c r="L26" s="310" t="s">
        <v>118</v>
      </c>
      <c r="M26" s="310"/>
    </row>
    <row r="27" spans="1:23" ht="16.5" thickBo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62"/>
      <c r="V27" s="62"/>
      <c r="W27" s="62"/>
    </row>
    <row r="28" spans="6:11" ht="15.75">
      <c r="F28" s="21"/>
      <c r="G28" s="21"/>
      <c r="H28" s="21"/>
      <c r="I28" s="21"/>
      <c r="J28" s="21"/>
      <c r="K28" s="21"/>
    </row>
    <row r="29" spans="2:23" ht="44.25" customHeight="1" thickBot="1">
      <c r="B29" s="3" t="s">
        <v>22</v>
      </c>
      <c r="C29" s="8" t="s">
        <v>75</v>
      </c>
      <c r="D29" s="8" t="s">
        <v>76</v>
      </c>
      <c r="E29" s="8" t="s">
        <v>77</v>
      </c>
      <c r="F29" s="8" t="s">
        <v>223</v>
      </c>
      <c r="G29" s="173" t="s">
        <v>268</v>
      </c>
      <c r="H29" s="8" t="s">
        <v>269</v>
      </c>
      <c r="I29" s="172" t="s">
        <v>240</v>
      </c>
      <c r="J29" s="8" t="s">
        <v>173</v>
      </c>
      <c r="K29" s="8" t="s">
        <v>90</v>
      </c>
      <c r="L29" s="8" t="s">
        <v>89</v>
      </c>
      <c r="M29" s="8" t="s">
        <v>114</v>
      </c>
      <c r="N29" s="8" t="s">
        <v>170</v>
      </c>
      <c r="O29" s="8" t="s">
        <v>224</v>
      </c>
      <c r="P29" s="11" t="s">
        <v>27</v>
      </c>
      <c r="Q29" s="11" t="s">
        <v>19</v>
      </c>
      <c r="R29" s="11" t="s">
        <v>26</v>
      </c>
      <c r="S29" s="11" t="s">
        <v>28</v>
      </c>
      <c r="T29" s="10" t="s">
        <v>101</v>
      </c>
      <c r="U29" s="2" t="s">
        <v>162</v>
      </c>
      <c r="V29" s="2" t="s">
        <v>163</v>
      </c>
      <c r="W29" s="2" t="s">
        <v>164</v>
      </c>
    </row>
    <row r="30" spans="1:26" s="227" customFormat="1" ht="15.75">
      <c r="A30" s="227" t="s">
        <v>286</v>
      </c>
      <c r="B30" s="227" t="s">
        <v>257</v>
      </c>
      <c r="C30" s="227">
        <v>182</v>
      </c>
      <c r="D30" s="225">
        <v>402</v>
      </c>
      <c r="E30" s="225"/>
      <c r="F30" s="225">
        <v>184</v>
      </c>
      <c r="G30" s="225"/>
      <c r="H30" s="225"/>
      <c r="I30" s="225"/>
      <c r="J30" s="232">
        <v>414</v>
      </c>
      <c r="K30" s="232">
        <v>408</v>
      </c>
      <c r="L30" s="225">
        <v>407</v>
      </c>
      <c r="M30" s="225"/>
      <c r="N30" s="225"/>
      <c r="O30" s="175">
        <v>413</v>
      </c>
      <c r="P30" s="227">
        <f>SUM(C30:O30)</f>
        <v>2410</v>
      </c>
      <c r="Q30" s="225">
        <v>5</v>
      </c>
      <c r="R30" s="225">
        <v>3</v>
      </c>
      <c r="S30" s="225">
        <v>29</v>
      </c>
      <c r="T30" s="225">
        <v>2</v>
      </c>
      <c r="U30" s="225">
        <v>1</v>
      </c>
      <c r="V30" s="225"/>
      <c r="W30" s="225"/>
      <c r="X30" s="225"/>
      <c r="Y30" s="225"/>
      <c r="Z30" s="225"/>
    </row>
    <row r="31" spans="1:26" s="227" customFormat="1" ht="15.75">
      <c r="A31" s="227" t="s">
        <v>287</v>
      </c>
      <c r="B31" s="227" t="s">
        <v>18</v>
      </c>
      <c r="C31" s="227">
        <v>375</v>
      </c>
      <c r="D31" s="225">
        <v>369</v>
      </c>
      <c r="E31" s="225"/>
      <c r="F31" s="225">
        <v>187</v>
      </c>
      <c r="G31" s="225"/>
      <c r="H31" s="225"/>
      <c r="I31" s="232">
        <v>418</v>
      </c>
      <c r="J31" s="232">
        <v>425</v>
      </c>
      <c r="K31" s="225"/>
      <c r="L31" s="225">
        <v>382</v>
      </c>
      <c r="M31" s="225"/>
      <c r="N31" s="225"/>
      <c r="O31" s="229">
        <v>195</v>
      </c>
      <c r="P31" s="227">
        <f aca="true" t="shared" si="3" ref="P31:P44">SUM(C31:O31)</f>
        <v>2351</v>
      </c>
      <c r="Q31" s="225">
        <v>2</v>
      </c>
      <c r="R31" s="225">
        <v>6</v>
      </c>
      <c r="S31" s="225">
        <v>-179</v>
      </c>
      <c r="T31" s="225">
        <v>0</v>
      </c>
      <c r="U31" s="225"/>
      <c r="V31" s="225"/>
      <c r="W31" s="225">
        <v>1</v>
      </c>
      <c r="X31" s="225"/>
      <c r="Y31" s="225"/>
      <c r="Z31" s="225"/>
    </row>
    <row r="32" spans="1:26" s="204" customFormat="1" ht="15.75">
      <c r="A32" s="204" t="s">
        <v>136</v>
      </c>
      <c r="B32" s="204" t="s">
        <v>21</v>
      </c>
      <c r="C32" s="204">
        <v>397</v>
      </c>
      <c r="D32" s="220">
        <v>354</v>
      </c>
      <c r="E32" s="220"/>
      <c r="F32" s="220">
        <v>386</v>
      </c>
      <c r="G32" s="220"/>
      <c r="H32" s="220"/>
      <c r="I32" s="220"/>
      <c r="J32" s="220">
        <v>387</v>
      </c>
      <c r="K32" s="224">
        <v>416</v>
      </c>
      <c r="L32" s="220"/>
      <c r="M32" s="220"/>
      <c r="N32" s="220"/>
      <c r="O32" s="183">
        <v>418</v>
      </c>
      <c r="P32" s="204">
        <f t="shared" si="3"/>
        <v>2358</v>
      </c>
      <c r="Q32" s="220">
        <v>2</v>
      </c>
      <c r="R32" s="220">
        <v>6</v>
      </c>
      <c r="S32" s="220">
        <v>-185</v>
      </c>
      <c r="T32" s="220">
        <v>0</v>
      </c>
      <c r="U32" s="220"/>
      <c r="V32" s="220"/>
      <c r="W32" s="220">
        <v>1</v>
      </c>
      <c r="X32" s="220"/>
      <c r="Y32" s="220"/>
      <c r="Z32" s="220"/>
    </row>
    <row r="33" spans="1:26" s="227" customFormat="1" ht="15.75">
      <c r="A33" s="227" t="s">
        <v>137</v>
      </c>
      <c r="B33" s="227" t="s">
        <v>219</v>
      </c>
      <c r="C33" s="232">
        <v>439</v>
      </c>
      <c r="D33" s="225"/>
      <c r="E33" s="225">
        <v>393</v>
      </c>
      <c r="F33" s="225"/>
      <c r="G33" s="225"/>
      <c r="H33" s="225"/>
      <c r="I33" s="225">
        <v>424</v>
      </c>
      <c r="J33" s="225"/>
      <c r="K33" s="232">
        <v>428</v>
      </c>
      <c r="L33" s="225">
        <v>399</v>
      </c>
      <c r="M33" s="225"/>
      <c r="N33" s="225"/>
      <c r="O33" s="229">
        <v>397</v>
      </c>
      <c r="P33" s="227">
        <f t="shared" si="3"/>
        <v>2480</v>
      </c>
      <c r="Q33" s="225">
        <v>2</v>
      </c>
      <c r="R33" s="225">
        <v>6</v>
      </c>
      <c r="S33" s="225">
        <v>-108</v>
      </c>
      <c r="T33" s="225">
        <v>0</v>
      </c>
      <c r="U33" s="225"/>
      <c r="V33" s="225"/>
      <c r="W33" s="225">
        <v>1</v>
      </c>
      <c r="X33" s="225"/>
      <c r="Y33" s="225"/>
      <c r="Z33" s="225"/>
    </row>
    <row r="34" spans="1:26" s="204" customFormat="1" ht="15.75">
      <c r="A34" s="204" t="s">
        <v>138</v>
      </c>
      <c r="B34" s="204" t="s">
        <v>23</v>
      </c>
      <c r="C34" s="204">
        <v>404</v>
      </c>
      <c r="D34" s="220">
        <v>369</v>
      </c>
      <c r="E34" s="220">
        <v>391</v>
      </c>
      <c r="F34" s="224">
        <v>414</v>
      </c>
      <c r="G34" s="220"/>
      <c r="H34" s="220"/>
      <c r="I34" s="220"/>
      <c r="J34" s="220"/>
      <c r="K34" s="220">
        <v>382</v>
      </c>
      <c r="L34" s="220"/>
      <c r="M34" s="220"/>
      <c r="N34" s="220">
        <v>405</v>
      </c>
      <c r="O34" s="221"/>
      <c r="P34" s="204">
        <f t="shared" si="3"/>
        <v>2365</v>
      </c>
      <c r="Q34" s="220">
        <v>1</v>
      </c>
      <c r="R34" s="220">
        <v>7</v>
      </c>
      <c r="S34" s="220">
        <v>-182</v>
      </c>
      <c r="T34" s="220">
        <v>0</v>
      </c>
      <c r="U34" s="220"/>
      <c r="V34" s="220"/>
      <c r="W34" s="220">
        <v>1</v>
      </c>
      <c r="X34" s="220"/>
      <c r="Y34" s="220"/>
      <c r="Z34" s="220"/>
    </row>
    <row r="35" spans="1:26" s="227" customFormat="1" ht="15.75">
      <c r="A35" s="227" t="s">
        <v>139</v>
      </c>
      <c r="B35" s="227" t="s">
        <v>180</v>
      </c>
      <c r="D35" s="225"/>
      <c r="E35" s="225">
        <v>379</v>
      </c>
      <c r="F35" s="232">
        <v>433</v>
      </c>
      <c r="G35" s="225"/>
      <c r="H35" s="225"/>
      <c r="I35" s="232">
        <v>428</v>
      </c>
      <c r="J35" s="225">
        <v>402</v>
      </c>
      <c r="K35" s="225"/>
      <c r="L35" s="225"/>
      <c r="M35" s="225"/>
      <c r="N35" s="225">
        <v>395</v>
      </c>
      <c r="O35" s="229">
        <v>410</v>
      </c>
      <c r="P35" s="227">
        <f t="shared" si="3"/>
        <v>2447</v>
      </c>
      <c r="Q35" s="225">
        <v>2</v>
      </c>
      <c r="R35" s="225">
        <v>6</v>
      </c>
      <c r="S35" s="225">
        <v>-105</v>
      </c>
      <c r="T35" s="225">
        <v>0</v>
      </c>
      <c r="U35" s="225"/>
      <c r="V35" s="225"/>
      <c r="W35" s="225">
        <v>1</v>
      </c>
      <c r="X35" s="225"/>
      <c r="Y35" s="225"/>
      <c r="Z35" s="225"/>
    </row>
    <row r="36" spans="1:26" s="204" customFormat="1" ht="15.75">
      <c r="A36" s="204" t="s">
        <v>140</v>
      </c>
      <c r="B36" s="220" t="s">
        <v>17</v>
      </c>
      <c r="D36" s="220"/>
      <c r="E36" s="220"/>
      <c r="F36" s="220">
        <v>409</v>
      </c>
      <c r="G36" s="220"/>
      <c r="H36" s="220"/>
      <c r="I36" s="220"/>
      <c r="J36" s="220">
        <v>406</v>
      </c>
      <c r="K36" s="220">
        <v>427</v>
      </c>
      <c r="L36" s="220"/>
      <c r="M36" s="220">
        <v>373</v>
      </c>
      <c r="N36" s="220">
        <v>412</v>
      </c>
      <c r="O36" s="183">
        <v>428</v>
      </c>
      <c r="P36" s="204">
        <f t="shared" si="3"/>
        <v>2455</v>
      </c>
      <c r="Q36" s="220">
        <v>1</v>
      </c>
      <c r="R36" s="220">
        <v>7</v>
      </c>
      <c r="S36" s="220">
        <v>-178</v>
      </c>
      <c r="T36" s="220">
        <v>0</v>
      </c>
      <c r="U36" s="220"/>
      <c r="V36" s="220"/>
      <c r="W36" s="220">
        <v>1</v>
      </c>
      <c r="X36" s="220"/>
      <c r="Y36" s="220"/>
      <c r="Z36" s="220"/>
    </row>
    <row r="37" spans="1:26" s="227" customFormat="1" ht="15.75">
      <c r="A37" s="227" t="s">
        <v>141</v>
      </c>
      <c r="B37" s="225" t="s">
        <v>178</v>
      </c>
      <c r="D37" s="228"/>
      <c r="E37" s="228"/>
      <c r="F37" s="230">
        <v>449</v>
      </c>
      <c r="G37" s="228"/>
      <c r="H37" s="228">
        <v>384</v>
      </c>
      <c r="I37" s="230">
        <v>465</v>
      </c>
      <c r="J37" s="228"/>
      <c r="K37" s="228">
        <v>422</v>
      </c>
      <c r="L37" s="228"/>
      <c r="M37" s="228"/>
      <c r="N37" s="228">
        <v>392</v>
      </c>
      <c r="O37" s="230">
        <v>454</v>
      </c>
      <c r="P37" s="227">
        <f t="shared" si="3"/>
        <v>2566</v>
      </c>
      <c r="Q37" s="225">
        <v>5</v>
      </c>
      <c r="R37" s="225">
        <v>3</v>
      </c>
      <c r="S37" s="225">
        <v>75</v>
      </c>
      <c r="T37" s="225">
        <v>2</v>
      </c>
      <c r="U37" s="225">
        <v>1</v>
      </c>
      <c r="V37" s="225"/>
      <c r="W37" s="225"/>
      <c r="X37" s="225"/>
      <c r="Y37" s="225"/>
      <c r="Z37" s="225"/>
    </row>
    <row r="38" spans="1:26" s="204" customFormat="1" ht="15.75">
      <c r="A38" s="204" t="s">
        <v>142</v>
      </c>
      <c r="B38" s="204" t="s">
        <v>259</v>
      </c>
      <c r="D38" s="116"/>
      <c r="E38" s="116"/>
      <c r="F38" s="116">
        <v>370</v>
      </c>
      <c r="G38" s="116"/>
      <c r="H38" s="181">
        <v>439</v>
      </c>
      <c r="I38" s="116"/>
      <c r="J38" s="181">
        <v>436</v>
      </c>
      <c r="K38" s="116">
        <v>373</v>
      </c>
      <c r="L38" s="181">
        <v>428</v>
      </c>
      <c r="M38" s="116"/>
      <c r="N38" s="116"/>
      <c r="O38" s="116">
        <v>423</v>
      </c>
      <c r="P38" s="204">
        <f t="shared" si="3"/>
        <v>2469</v>
      </c>
      <c r="Q38" s="220">
        <v>3</v>
      </c>
      <c r="R38" s="220">
        <v>5</v>
      </c>
      <c r="S38" s="220">
        <v>-40</v>
      </c>
      <c r="T38" s="220">
        <v>0</v>
      </c>
      <c r="U38" s="220"/>
      <c r="V38" s="220"/>
      <c r="W38" s="220">
        <v>1</v>
      </c>
      <c r="X38" s="220"/>
      <c r="Y38" s="220"/>
      <c r="Z38" s="220"/>
    </row>
    <row r="39" spans="1:26" s="227" customFormat="1" ht="15.75">
      <c r="A39" s="227" t="s">
        <v>143</v>
      </c>
      <c r="B39" s="227" t="s">
        <v>20</v>
      </c>
      <c r="C39" s="227">
        <v>402</v>
      </c>
      <c r="D39" s="225"/>
      <c r="E39" s="225">
        <v>215</v>
      </c>
      <c r="F39" s="225"/>
      <c r="G39" s="225"/>
      <c r="H39" s="232">
        <v>439</v>
      </c>
      <c r="I39" s="225">
        <v>418</v>
      </c>
      <c r="J39" s="232">
        <v>432</v>
      </c>
      <c r="K39" s="225"/>
      <c r="L39" s="225">
        <v>169</v>
      </c>
      <c r="M39" s="225"/>
      <c r="N39" s="225"/>
      <c r="O39" s="191">
        <v>433</v>
      </c>
      <c r="P39" s="227">
        <f t="shared" si="3"/>
        <v>2508</v>
      </c>
      <c r="Q39" s="225">
        <v>3</v>
      </c>
      <c r="R39" s="225">
        <v>5</v>
      </c>
      <c r="S39" s="225">
        <v>-17</v>
      </c>
      <c r="T39" s="225">
        <v>0</v>
      </c>
      <c r="U39" s="225"/>
      <c r="V39" s="225"/>
      <c r="W39" s="225">
        <v>1</v>
      </c>
      <c r="X39" s="225"/>
      <c r="Y39" s="225"/>
      <c r="Z39" s="225"/>
    </row>
    <row r="40" spans="1:26" s="204" customFormat="1" ht="16.5" customHeight="1">
      <c r="A40" s="204" t="s">
        <v>144</v>
      </c>
      <c r="B40" s="204" t="s">
        <v>179</v>
      </c>
      <c r="D40" s="220">
        <v>390</v>
      </c>
      <c r="E40" s="220"/>
      <c r="F40" s="220"/>
      <c r="G40" s="220"/>
      <c r="H40" s="220">
        <v>413</v>
      </c>
      <c r="I40" s="220"/>
      <c r="J40" s="224">
        <v>453</v>
      </c>
      <c r="K40" s="220">
        <v>394</v>
      </c>
      <c r="L40" s="220"/>
      <c r="M40" s="220"/>
      <c r="N40" s="220">
        <v>371</v>
      </c>
      <c r="O40" s="221">
        <v>397</v>
      </c>
      <c r="P40" s="204">
        <f t="shared" si="3"/>
        <v>2418</v>
      </c>
      <c r="Q40" s="220">
        <v>1</v>
      </c>
      <c r="R40" s="220">
        <v>7</v>
      </c>
      <c r="S40" s="220">
        <v>-192</v>
      </c>
      <c r="T40" s="220">
        <v>0</v>
      </c>
      <c r="U40" s="220"/>
      <c r="V40" s="220"/>
      <c r="W40" s="220">
        <v>1</v>
      </c>
      <c r="X40" s="220"/>
      <c r="Y40" s="220"/>
      <c r="Z40" s="220"/>
    </row>
    <row r="41" spans="1:26" s="227" customFormat="1" ht="15.75">
      <c r="A41" s="227" t="s">
        <v>145</v>
      </c>
      <c r="B41" s="227" t="s">
        <v>177</v>
      </c>
      <c r="C41" s="232">
        <v>426</v>
      </c>
      <c r="D41" s="225">
        <v>393</v>
      </c>
      <c r="E41" s="225"/>
      <c r="F41" s="225">
        <v>419</v>
      </c>
      <c r="G41" s="225"/>
      <c r="I41" s="232">
        <v>469</v>
      </c>
      <c r="J41" s="232">
        <v>434</v>
      </c>
      <c r="K41" s="225">
        <v>421</v>
      </c>
      <c r="L41" s="225"/>
      <c r="M41" s="225"/>
      <c r="N41" s="225"/>
      <c r="O41" s="229"/>
      <c r="P41" s="227">
        <f t="shared" si="3"/>
        <v>2562</v>
      </c>
      <c r="Q41" s="225">
        <v>5</v>
      </c>
      <c r="R41" s="225">
        <v>3</v>
      </c>
      <c r="S41" s="225">
        <v>24</v>
      </c>
      <c r="T41" s="225">
        <v>2</v>
      </c>
      <c r="U41" s="225">
        <v>1</v>
      </c>
      <c r="V41" s="225"/>
      <c r="W41" s="225"/>
      <c r="X41" s="225"/>
      <c r="Y41" s="225"/>
      <c r="Z41" s="225"/>
    </row>
    <row r="42" spans="1:26" s="204" customFormat="1" ht="15.75">
      <c r="A42" s="204" t="s">
        <v>146</v>
      </c>
      <c r="B42" s="204" t="s">
        <v>15</v>
      </c>
      <c r="C42" s="224">
        <v>442</v>
      </c>
      <c r="D42" s="220"/>
      <c r="E42" s="220"/>
      <c r="F42" s="224">
        <v>435</v>
      </c>
      <c r="G42" s="220"/>
      <c r="H42" s="224">
        <v>442</v>
      </c>
      <c r="I42" s="220"/>
      <c r="J42" s="220"/>
      <c r="K42" s="220">
        <v>419</v>
      </c>
      <c r="L42" s="220"/>
      <c r="M42" s="220">
        <v>403</v>
      </c>
      <c r="N42" s="220">
        <v>427</v>
      </c>
      <c r="O42" s="221"/>
      <c r="P42" s="204">
        <f t="shared" si="3"/>
        <v>2568</v>
      </c>
      <c r="Q42" s="220">
        <v>3</v>
      </c>
      <c r="R42" s="220">
        <v>5</v>
      </c>
      <c r="S42" s="220">
        <v>-26</v>
      </c>
      <c r="T42" s="220">
        <v>0</v>
      </c>
      <c r="U42" s="220"/>
      <c r="V42" s="220"/>
      <c r="W42" s="220">
        <v>1</v>
      </c>
      <c r="X42" s="220"/>
      <c r="Y42" s="220"/>
      <c r="Z42" s="220"/>
    </row>
    <row r="43" spans="1:26" s="227" customFormat="1" ht="15.75">
      <c r="A43" s="227" t="s">
        <v>147</v>
      </c>
      <c r="B43" s="227" t="s">
        <v>218</v>
      </c>
      <c r="C43" s="227">
        <v>404</v>
      </c>
      <c r="D43" s="225"/>
      <c r="E43" s="225"/>
      <c r="F43" s="225">
        <v>405</v>
      </c>
      <c r="G43" s="225"/>
      <c r="H43" s="232">
        <v>426</v>
      </c>
      <c r="I43" s="232">
        <v>426</v>
      </c>
      <c r="J43" s="225">
        <v>406</v>
      </c>
      <c r="K43" s="225"/>
      <c r="L43" s="225"/>
      <c r="M43" s="225"/>
      <c r="N43" s="225"/>
      <c r="O43" s="229">
        <v>386</v>
      </c>
      <c r="P43" s="227">
        <f t="shared" si="3"/>
        <v>2453</v>
      </c>
      <c r="Q43" s="225">
        <v>2</v>
      </c>
      <c r="R43" s="225">
        <v>6</v>
      </c>
      <c r="S43" s="225">
        <v>-9</v>
      </c>
      <c r="T43" s="225">
        <v>0</v>
      </c>
      <c r="U43" s="225"/>
      <c r="V43" s="225"/>
      <c r="W43" s="225">
        <v>1</v>
      </c>
      <c r="X43" s="225"/>
      <c r="Y43" s="225"/>
      <c r="Z43" s="225"/>
    </row>
    <row r="44" spans="1:26" s="204" customFormat="1" ht="16.5" thickBot="1">
      <c r="A44" s="204" t="s">
        <v>148</v>
      </c>
      <c r="B44" s="204" t="s">
        <v>258</v>
      </c>
      <c r="D44" s="224">
        <v>426</v>
      </c>
      <c r="E44" s="220"/>
      <c r="F44" s="220">
        <v>412</v>
      </c>
      <c r="G44" s="220"/>
      <c r="H44" s="220">
        <v>408</v>
      </c>
      <c r="I44" s="220"/>
      <c r="J44" s="224">
        <v>426</v>
      </c>
      <c r="K44" s="220"/>
      <c r="L44" s="220"/>
      <c r="M44" s="220"/>
      <c r="N44" s="224">
        <v>413</v>
      </c>
      <c r="O44" s="221">
        <v>412</v>
      </c>
      <c r="P44" s="204">
        <f t="shared" si="3"/>
        <v>2497</v>
      </c>
      <c r="Q44" s="220">
        <v>3</v>
      </c>
      <c r="R44" s="220">
        <v>5</v>
      </c>
      <c r="S44" s="220">
        <v>-88</v>
      </c>
      <c r="T44" s="220">
        <v>0</v>
      </c>
      <c r="U44" s="220"/>
      <c r="V44" s="220"/>
      <c r="W44" s="220">
        <v>1</v>
      </c>
      <c r="X44" s="220"/>
      <c r="Y44" s="220"/>
      <c r="Z44" s="220"/>
    </row>
    <row r="45" spans="2:23" ht="16.5" thickTop="1">
      <c r="B45" s="85"/>
      <c r="C45" s="33">
        <f>SUM(C31:C44)</f>
        <v>3289</v>
      </c>
      <c r="D45" s="33">
        <f>SUM(D30:D44)</f>
        <v>2703</v>
      </c>
      <c r="E45" s="33">
        <f>SUM(E30:E38)+SUM(E40:E44)</f>
        <v>1163</v>
      </c>
      <c r="F45" s="33">
        <f>SUM(F32:F44)</f>
        <v>4132</v>
      </c>
      <c r="G45" s="33">
        <f>SUM(G30:G40)+SUM(G44:G44)+G42</f>
        <v>0</v>
      </c>
      <c r="H45" s="33">
        <f>SUM(H30:H44)</f>
        <v>2951</v>
      </c>
      <c r="I45" s="33">
        <f>SUM(I30:I44)</f>
        <v>3048</v>
      </c>
      <c r="J45" s="33">
        <f>SUM(J30:J44)</f>
        <v>4621</v>
      </c>
      <c r="K45" s="33">
        <f>SUM(K30:K40)+SUM(K44:K44)</f>
        <v>3250</v>
      </c>
      <c r="L45" s="33">
        <f>SUM(L30:L38)+SUM(L40:L44)</f>
        <v>1616</v>
      </c>
      <c r="M45" s="33">
        <f>SUM(M31:M43)+M30+SUM(M44:M44)</f>
        <v>776</v>
      </c>
      <c r="N45" s="33">
        <f>SUM(N32:N44)</f>
        <v>2815</v>
      </c>
      <c r="O45" s="33">
        <f>SUM(O32:O44)+O30</f>
        <v>4571</v>
      </c>
      <c r="Q45" s="1">
        <f>SUM(Q30:Q44)</f>
        <v>40</v>
      </c>
      <c r="R45" s="1">
        <f>SUM(R30:R44)</f>
        <v>80</v>
      </c>
      <c r="S45" s="1">
        <f>SUM(S30:S44)</f>
        <v>-1181</v>
      </c>
      <c r="T45" s="1">
        <f>SUM(T30:T44)</f>
        <v>6</v>
      </c>
      <c r="U45" s="1">
        <f>SUM(U30:U44)+U21</f>
        <v>7</v>
      </c>
      <c r="V45" s="1">
        <f>SUM(V30:V44)+V21</f>
        <v>1</v>
      </c>
      <c r="W45" s="1">
        <f>SUM(W30:W44)+W21</f>
        <v>22</v>
      </c>
    </row>
    <row r="46" spans="2:15" ht="15.75">
      <c r="B46" s="36" t="s">
        <v>213</v>
      </c>
      <c r="C46" s="1">
        <f>COUNT(C31:C44)</f>
        <v>8</v>
      </c>
      <c r="D46" s="1">
        <f>COUNT(D30:D44)</f>
        <v>7</v>
      </c>
      <c r="E46" s="1">
        <f>COUNT(E30:E38)+COUNT(E40:E44)</f>
        <v>3</v>
      </c>
      <c r="F46" s="1">
        <f>COUNT(F32:F44)</f>
        <v>10</v>
      </c>
      <c r="G46" s="1">
        <f>COUNT(G30:G40)+COUNT(G44:G44)+COUNT(G42)</f>
        <v>0</v>
      </c>
      <c r="H46" s="1">
        <f>COUNT(H30:H44)</f>
        <v>7</v>
      </c>
      <c r="I46" s="1">
        <f>COUNT(I30:I44)</f>
        <v>7</v>
      </c>
      <c r="J46" s="1">
        <f>COUNT(J30:J44)</f>
        <v>11</v>
      </c>
      <c r="K46" s="1">
        <f>COUNT(K30:K40)+COUNT(K44:K44)</f>
        <v>8</v>
      </c>
      <c r="L46" s="1">
        <f>COUNT(L30:L38)+COUNT(L40:L44)</f>
        <v>4</v>
      </c>
      <c r="M46" s="1">
        <f>COUNT(M31:M43)+COUNT(M30)+COUNT(M44:M44)</f>
        <v>2</v>
      </c>
      <c r="N46" s="1">
        <f>COUNT(N32:N44)</f>
        <v>7</v>
      </c>
      <c r="O46" s="1">
        <f>COUNT(O32:O44)+COUNT(O30)</f>
        <v>11</v>
      </c>
    </row>
    <row r="47" spans="2:23" ht="31.5">
      <c r="B47" s="11" t="s">
        <v>210</v>
      </c>
      <c r="C47" s="34">
        <f>C45/C46</f>
        <v>411.125</v>
      </c>
      <c r="D47" s="34">
        <f>D45/D46</f>
        <v>386.14285714285717</v>
      </c>
      <c r="E47" s="34">
        <f>E45/E46</f>
        <v>387.6666666666667</v>
      </c>
      <c r="F47" s="34">
        <f aca="true" t="shared" si="4" ref="F47:O47">F45/F46</f>
        <v>413.2</v>
      </c>
      <c r="G47" s="34" t="e">
        <f t="shared" si="4"/>
        <v>#DIV/0!</v>
      </c>
      <c r="H47" s="34">
        <f t="shared" si="4"/>
        <v>421.57142857142856</v>
      </c>
      <c r="I47" s="34">
        <f t="shared" si="4"/>
        <v>435.42857142857144</v>
      </c>
      <c r="J47" s="34">
        <f t="shared" si="4"/>
        <v>420.09090909090907</v>
      </c>
      <c r="K47" s="34">
        <f t="shared" si="4"/>
        <v>406.25</v>
      </c>
      <c r="L47" s="34">
        <f t="shared" si="4"/>
        <v>404</v>
      </c>
      <c r="M47" s="34">
        <f t="shared" si="4"/>
        <v>388</v>
      </c>
      <c r="N47" s="34">
        <f t="shared" si="4"/>
        <v>402.14285714285717</v>
      </c>
      <c r="O47" s="34">
        <f t="shared" si="4"/>
        <v>415.54545454545456</v>
      </c>
      <c r="P47" s="3" t="s">
        <v>27</v>
      </c>
      <c r="Q47" s="308" t="s">
        <v>102</v>
      </c>
      <c r="R47" s="308"/>
      <c r="S47" s="3" t="s">
        <v>28</v>
      </c>
      <c r="T47" s="10" t="s">
        <v>103</v>
      </c>
      <c r="V47" s="40" t="s">
        <v>111</v>
      </c>
      <c r="W47" s="40" t="s">
        <v>192</v>
      </c>
    </row>
    <row r="48" spans="16:23" ht="15.75">
      <c r="P48" s="6">
        <f>SUM(P30:P44)+P24</f>
        <v>74132</v>
      </c>
      <c r="Q48" s="6">
        <f>SUM(Q30:Q44)+Q24</f>
        <v>86</v>
      </c>
      <c r="R48" s="6">
        <f>SUM(R30:R44)+R24</f>
        <v>154</v>
      </c>
      <c r="S48" s="6">
        <f>SUM(S30:S44)+S24</f>
        <v>-2081</v>
      </c>
      <c r="T48" s="6">
        <f>SUM(T30:T44)+T24</f>
        <v>15</v>
      </c>
      <c r="V48" s="2">
        <f>Q48-R48</f>
        <v>-68</v>
      </c>
      <c r="W48" s="2">
        <f>SUM(U45:W45)</f>
        <v>30</v>
      </c>
    </row>
    <row r="50" spans="16:17" ht="15.75">
      <c r="P50" s="1" t="s">
        <v>113</v>
      </c>
      <c r="Q50" s="18">
        <f>P48/W48</f>
        <v>2471.0666666666666</v>
      </c>
    </row>
  </sheetData>
  <sheetProtection/>
  <mergeCells count="9">
    <mergeCell ref="Q47:R47"/>
    <mergeCell ref="E1:F1"/>
    <mergeCell ref="Q4:R4"/>
    <mergeCell ref="C26:D26"/>
    <mergeCell ref="Q23:R23"/>
    <mergeCell ref="F26:J26"/>
    <mergeCell ref="L26:M26"/>
    <mergeCell ref="C4:O4"/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7"/>
  <sheetViews>
    <sheetView zoomScalePageLayoutView="0" workbookViewId="0" topLeftCell="A1">
      <selection activeCell="D163" sqref="B2:D163"/>
    </sheetView>
  </sheetViews>
  <sheetFormatPr defaultColWidth="9.00390625" defaultRowHeight="12.75"/>
  <cols>
    <col min="1" max="1" width="9.125" style="20" customWidth="1"/>
    <col min="2" max="2" width="24.375" style="20" customWidth="1"/>
    <col min="3" max="3" width="21.00390625" style="20" customWidth="1"/>
    <col min="4" max="4" width="12.75390625" style="20" customWidth="1"/>
    <col min="7" max="7" width="22.875" style="0" bestFit="1" customWidth="1"/>
  </cols>
  <sheetData>
    <row r="1" spans="2:4" ht="15.75">
      <c r="B1" s="11" t="s">
        <v>255</v>
      </c>
      <c r="C1" s="11" t="s">
        <v>256</v>
      </c>
      <c r="D1" s="11" t="s">
        <v>276</v>
      </c>
    </row>
    <row r="2" spans="1:4" ht="15.75">
      <c r="A2" s="20">
        <v>1</v>
      </c>
      <c r="B2" s="233" t="s">
        <v>265</v>
      </c>
      <c r="C2" s="178" t="s">
        <v>218</v>
      </c>
      <c r="D2" s="194">
        <f>Gumigyár!G23</f>
        <v>468.61538461538464</v>
      </c>
    </row>
    <row r="3" spans="1:20" ht="15.75">
      <c r="A3" s="20">
        <f>A2+1</f>
        <v>2</v>
      </c>
      <c r="B3" s="193" t="s">
        <v>266</v>
      </c>
      <c r="C3" s="91" t="s">
        <v>220</v>
      </c>
      <c r="D3" s="93">
        <f>'Amazonok és Titánok'!C23</f>
        <v>466.72727272727275</v>
      </c>
      <c r="G3" s="196" t="s">
        <v>283</v>
      </c>
      <c r="S3" s="87"/>
      <c r="T3" s="88"/>
    </row>
    <row r="4" spans="1:5" ht="15.75">
      <c r="A4" s="20">
        <f aca="true" t="shared" si="0" ref="A4:A67">A3+1</f>
        <v>3</v>
      </c>
      <c r="B4" s="192" t="s">
        <v>188</v>
      </c>
      <c r="C4" s="91" t="s">
        <v>20</v>
      </c>
      <c r="D4" s="194">
        <f>Santé!K23</f>
        <v>463.85714285714283</v>
      </c>
      <c r="E4" s="88"/>
    </row>
    <row r="5" spans="1:4" ht="15.75">
      <c r="A5" s="20">
        <f t="shared" si="0"/>
        <v>4</v>
      </c>
      <c r="B5" s="193" t="s">
        <v>215</v>
      </c>
      <c r="C5" s="91" t="s">
        <v>17</v>
      </c>
      <c r="D5" s="194">
        <f>Privát!L23</f>
        <v>463.2142857142857</v>
      </c>
    </row>
    <row r="6" spans="1:5" ht="15.75">
      <c r="A6" s="20">
        <f t="shared" si="0"/>
        <v>5</v>
      </c>
      <c r="B6" s="192" t="s">
        <v>116</v>
      </c>
      <c r="C6" s="91" t="s">
        <v>23</v>
      </c>
      <c r="D6" s="194">
        <f>Kinizsi!F23</f>
        <v>461.9166666666667</v>
      </c>
      <c r="E6" s="90"/>
    </row>
    <row r="7" spans="1:20" ht="15.75">
      <c r="A7" s="20">
        <f t="shared" si="0"/>
        <v>6</v>
      </c>
      <c r="B7" s="87" t="s">
        <v>66</v>
      </c>
      <c r="C7" s="91" t="s">
        <v>178</v>
      </c>
      <c r="D7" s="194">
        <f>Kalmár!F23</f>
        <v>457.92857142857144</v>
      </c>
      <c r="E7" s="86"/>
      <c r="O7" s="89"/>
      <c r="P7" s="89"/>
      <c r="Q7" s="89"/>
      <c r="R7" s="89"/>
      <c r="S7" s="89"/>
      <c r="T7" s="89"/>
    </row>
    <row r="8" spans="1:20" ht="15.75">
      <c r="A8" s="20">
        <f t="shared" si="0"/>
        <v>7</v>
      </c>
      <c r="B8" s="193" t="s">
        <v>247</v>
      </c>
      <c r="C8" s="91" t="s">
        <v>23</v>
      </c>
      <c r="D8" s="194">
        <f>Kinizsi!E23</f>
        <v>455.26666666666665</v>
      </c>
      <c r="E8" s="89"/>
      <c r="O8" s="90"/>
      <c r="P8" s="90"/>
      <c r="Q8" s="90"/>
      <c r="R8" s="90"/>
      <c r="S8" s="90"/>
      <c r="T8" s="90"/>
    </row>
    <row r="9" spans="1:20" ht="15.75">
      <c r="A9" s="20">
        <f t="shared" si="0"/>
        <v>8</v>
      </c>
      <c r="B9" s="91" t="s">
        <v>63</v>
      </c>
      <c r="C9" s="91" t="s">
        <v>20</v>
      </c>
      <c r="D9" s="194">
        <f>Santé!E23</f>
        <v>455.25</v>
      </c>
      <c r="E9" s="90"/>
      <c r="O9" s="90"/>
      <c r="P9" s="90"/>
      <c r="Q9" s="90"/>
      <c r="R9" s="90"/>
      <c r="S9" s="90"/>
      <c r="T9" s="90"/>
    </row>
    <row r="10" spans="1:20" ht="15.75">
      <c r="A10" s="20">
        <f t="shared" si="0"/>
        <v>9</v>
      </c>
      <c r="B10" s="193" t="s">
        <v>243</v>
      </c>
      <c r="C10" s="178" t="s">
        <v>219</v>
      </c>
      <c r="D10" s="194">
        <f>'Vörös Ördögök'!E23</f>
        <v>454.6923076923077</v>
      </c>
      <c r="E10" s="90"/>
      <c r="O10" s="90"/>
      <c r="P10" s="90"/>
      <c r="Q10" s="90"/>
      <c r="R10" s="90"/>
      <c r="S10" s="90"/>
      <c r="T10" s="90"/>
    </row>
    <row r="11" spans="1:20" ht="15.75">
      <c r="A11" s="20">
        <f t="shared" si="0"/>
        <v>10</v>
      </c>
      <c r="B11" s="233" t="s">
        <v>278</v>
      </c>
      <c r="C11" s="91" t="s">
        <v>179</v>
      </c>
      <c r="D11" s="194">
        <f>GLB!H23</f>
        <v>452.93333333333334</v>
      </c>
      <c r="E11" s="90"/>
      <c r="O11" s="90"/>
      <c r="P11" s="90"/>
      <c r="Q11" s="90"/>
      <c r="R11" s="90"/>
      <c r="S11" s="90"/>
      <c r="T11" s="90"/>
    </row>
    <row r="12" spans="1:20" ht="15.75">
      <c r="A12" s="20">
        <f t="shared" si="0"/>
        <v>11</v>
      </c>
      <c r="B12" s="192" t="s">
        <v>37</v>
      </c>
      <c r="C12" s="91" t="s">
        <v>23</v>
      </c>
      <c r="D12" s="194">
        <f>Kinizsi!I23</f>
        <v>451.5</v>
      </c>
      <c r="E12" s="90"/>
      <c r="O12" s="90"/>
      <c r="P12" s="90"/>
      <c r="Q12" s="90"/>
      <c r="R12" s="90"/>
      <c r="S12" s="90"/>
      <c r="T12" s="90"/>
    </row>
    <row r="13" spans="1:4" ht="15.75">
      <c r="A13" s="20">
        <f t="shared" si="0"/>
        <v>12</v>
      </c>
      <c r="B13" s="195" t="s">
        <v>189</v>
      </c>
      <c r="C13" s="91" t="s">
        <v>178</v>
      </c>
      <c r="D13" s="194">
        <f>Kalmár!K23</f>
        <v>450.35714285714283</v>
      </c>
    </row>
    <row r="14" spans="1:4" ht="15.75">
      <c r="A14" s="20">
        <f t="shared" si="0"/>
        <v>13</v>
      </c>
      <c r="B14" s="192" t="s">
        <v>216</v>
      </c>
      <c r="C14" s="91" t="s">
        <v>179</v>
      </c>
      <c r="D14" s="194">
        <f>GLB!I23</f>
        <v>447.1</v>
      </c>
    </row>
    <row r="15" spans="1:4" ht="15.75">
      <c r="A15" s="20">
        <f t="shared" si="0"/>
        <v>14</v>
      </c>
      <c r="B15" s="192" t="s">
        <v>97</v>
      </c>
      <c r="C15" s="91" t="s">
        <v>23</v>
      </c>
      <c r="D15" s="194">
        <f>Kinizsi!K23</f>
        <v>447.3076923076923</v>
      </c>
    </row>
    <row r="16" spans="1:4" ht="15.75">
      <c r="A16" s="20">
        <f t="shared" si="0"/>
        <v>15</v>
      </c>
      <c r="B16" s="91" t="s">
        <v>56</v>
      </c>
      <c r="C16" s="91" t="s">
        <v>259</v>
      </c>
      <c r="D16" s="93">
        <f>'Kék Vércsék'!C23</f>
        <v>446.93333333333334</v>
      </c>
    </row>
    <row r="17" spans="1:4" ht="15.75">
      <c r="A17" s="20">
        <f t="shared" si="0"/>
        <v>16</v>
      </c>
      <c r="B17" s="193" t="s">
        <v>270</v>
      </c>
      <c r="C17" s="91" t="s">
        <v>177</v>
      </c>
      <c r="D17" s="194">
        <f>'Temesvári Hús'!G23</f>
        <v>445.7857142857143</v>
      </c>
    </row>
    <row r="18" spans="1:4" ht="15.75">
      <c r="A18" s="20">
        <f t="shared" si="0"/>
        <v>17</v>
      </c>
      <c r="B18" s="193" t="s">
        <v>121</v>
      </c>
      <c r="C18" s="91" t="s">
        <v>18</v>
      </c>
      <c r="D18" s="194">
        <f>'Anro ker'!I23</f>
        <v>445.6</v>
      </c>
    </row>
    <row r="19" spans="1:4" ht="15.75">
      <c r="A19" s="20">
        <f t="shared" si="0"/>
        <v>18</v>
      </c>
      <c r="B19" s="91" t="s">
        <v>246</v>
      </c>
      <c r="C19" s="178" t="s">
        <v>219</v>
      </c>
      <c r="D19" s="194">
        <f>'Vörös Ördögök'!L23</f>
        <v>443.8666666666667</v>
      </c>
    </row>
    <row r="20" spans="1:4" ht="15.75">
      <c r="A20" s="20">
        <f t="shared" si="0"/>
        <v>19</v>
      </c>
      <c r="B20" s="192" t="s">
        <v>93</v>
      </c>
      <c r="C20" s="91" t="s">
        <v>178</v>
      </c>
      <c r="D20" s="194">
        <f>Kalmár!D23</f>
        <v>440.8666666666667</v>
      </c>
    </row>
    <row r="21" spans="1:4" ht="15.75">
      <c r="A21" s="20">
        <f t="shared" si="0"/>
        <v>20</v>
      </c>
      <c r="B21" s="192" t="s">
        <v>150</v>
      </c>
      <c r="C21" s="91" t="s">
        <v>17</v>
      </c>
      <c r="D21" s="194">
        <f>Privát!C23</f>
        <v>440.3333333333333</v>
      </c>
    </row>
    <row r="22" spans="1:4" ht="15.75">
      <c r="A22" s="20">
        <f t="shared" si="0"/>
        <v>21</v>
      </c>
      <c r="B22" s="192" t="s">
        <v>81</v>
      </c>
      <c r="C22" s="178" t="s">
        <v>218</v>
      </c>
      <c r="D22" s="194">
        <f>Gumigyár!I23</f>
        <v>439.46666666666664</v>
      </c>
    </row>
    <row r="23" spans="1:4" ht="15.75">
      <c r="A23" s="20">
        <f t="shared" si="0"/>
        <v>22</v>
      </c>
      <c r="B23" s="192" t="s">
        <v>277</v>
      </c>
      <c r="C23" s="91" t="s">
        <v>17</v>
      </c>
      <c r="D23" s="194">
        <f>Privát!D23</f>
        <v>439.1</v>
      </c>
    </row>
    <row r="24" spans="1:4" ht="15.75">
      <c r="A24" s="20">
        <f t="shared" si="0"/>
        <v>23</v>
      </c>
      <c r="B24" s="192" t="s">
        <v>43</v>
      </c>
      <c r="C24" s="91" t="s">
        <v>179</v>
      </c>
      <c r="D24" s="194">
        <f>GLB!G23</f>
        <v>434.72727272727275</v>
      </c>
    </row>
    <row r="25" spans="1:4" ht="15.75">
      <c r="A25" s="20">
        <f t="shared" si="0"/>
        <v>24</v>
      </c>
      <c r="B25" s="192" t="s">
        <v>42</v>
      </c>
      <c r="C25" s="178" t="s">
        <v>15</v>
      </c>
      <c r="D25" s="194">
        <f>Tápé!H23</f>
        <v>438.3636363636364</v>
      </c>
    </row>
    <row r="26" spans="1:4" ht="15.75">
      <c r="A26" s="20">
        <f t="shared" si="0"/>
        <v>25</v>
      </c>
      <c r="B26" s="192" t="s">
        <v>32</v>
      </c>
      <c r="C26" s="91" t="s">
        <v>220</v>
      </c>
      <c r="D26" s="194">
        <f>'Amazonok és Titánok'!H23</f>
        <v>436.7857142857143</v>
      </c>
    </row>
    <row r="27" spans="1:4" ht="15.75">
      <c r="A27" s="20">
        <f t="shared" si="0"/>
        <v>26</v>
      </c>
      <c r="B27" s="192" t="s">
        <v>61</v>
      </c>
      <c r="C27" s="91" t="s">
        <v>20</v>
      </c>
      <c r="D27" s="194">
        <f>Santé!C23</f>
        <v>437.35714285714283</v>
      </c>
    </row>
    <row r="28" spans="1:4" ht="15.75">
      <c r="A28" s="20">
        <f t="shared" si="0"/>
        <v>27</v>
      </c>
      <c r="B28" s="192" t="s">
        <v>248</v>
      </c>
      <c r="C28" s="91" t="s">
        <v>23</v>
      </c>
      <c r="D28" s="194">
        <f>Kinizsi!N23</f>
        <v>436.25</v>
      </c>
    </row>
    <row r="29" spans="1:4" ht="15.75">
      <c r="A29" s="20">
        <f t="shared" si="0"/>
        <v>28</v>
      </c>
      <c r="B29" s="91" t="s">
        <v>54</v>
      </c>
      <c r="C29" s="91" t="s">
        <v>259</v>
      </c>
      <c r="D29" s="194">
        <f>'Kék Vércsék'!F23</f>
        <v>436.07142857142856</v>
      </c>
    </row>
    <row r="30" spans="1:4" ht="15.75">
      <c r="A30" s="20">
        <f t="shared" si="0"/>
        <v>29</v>
      </c>
      <c r="B30" s="192" t="s">
        <v>159</v>
      </c>
      <c r="C30" s="91" t="s">
        <v>178</v>
      </c>
      <c r="D30" s="194">
        <f>Kalmár!J23</f>
        <v>436</v>
      </c>
    </row>
    <row r="31" spans="1:4" ht="15.75">
      <c r="A31" s="20">
        <f t="shared" si="0"/>
        <v>30</v>
      </c>
      <c r="B31" s="192" t="s">
        <v>48</v>
      </c>
      <c r="C31" s="178" t="s">
        <v>258</v>
      </c>
      <c r="D31" s="194">
        <f>Aselec!D23</f>
        <v>435.8666666666667</v>
      </c>
    </row>
    <row r="32" spans="1:4" ht="15.75">
      <c r="A32" s="20">
        <f t="shared" si="0"/>
        <v>31</v>
      </c>
      <c r="B32" s="192" t="s">
        <v>107</v>
      </c>
      <c r="C32" s="91" t="s">
        <v>179</v>
      </c>
      <c r="D32" s="194">
        <f>GLB!L23</f>
        <v>435.5</v>
      </c>
    </row>
    <row r="33" spans="1:4" ht="15.75">
      <c r="A33" s="20">
        <f t="shared" si="0"/>
        <v>32</v>
      </c>
      <c r="B33" s="192" t="s">
        <v>36</v>
      </c>
      <c r="C33" s="91" t="s">
        <v>23</v>
      </c>
      <c r="D33" s="194">
        <f>Kinizsi!L23</f>
        <v>435.15384615384613</v>
      </c>
    </row>
    <row r="34" spans="1:4" ht="15.75">
      <c r="A34" s="20">
        <f t="shared" si="0"/>
        <v>33</v>
      </c>
      <c r="B34" s="192" t="s">
        <v>271</v>
      </c>
      <c r="C34" s="91" t="s">
        <v>177</v>
      </c>
      <c r="D34" s="194">
        <f>'Temesvári Hús'!H23</f>
        <v>435.1333333333333</v>
      </c>
    </row>
    <row r="35" spans="1:4" ht="15.75">
      <c r="A35" s="20">
        <f t="shared" si="0"/>
        <v>34</v>
      </c>
      <c r="B35" s="192" t="s">
        <v>31</v>
      </c>
      <c r="C35" s="91" t="s">
        <v>179</v>
      </c>
      <c r="D35" s="194">
        <f>GLB!E23</f>
        <v>434.0769230769231</v>
      </c>
    </row>
    <row r="36" spans="1:4" ht="15.75">
      <c r="A36" s="20">
        <f t="shared" si="0"/>
        <v>35</v>
      </c>
      <c r="B36" s="192" t="s">
        <v>29</v>
      </c>
      <c r="C36" s="91" t="s">
        <v>257</v>
      </c>
      <c r="D36" s="194">
        <f>'EDF Démász'!K23</f>
        <v>434.5</v>
      </c>
    </row>
    <row r="37" spans="1:4" ht="15.75">
      <c r="A37" s="20">
        <f t="shared" si="0"/>
        <v>36</v>
      </c>
      <c r="B37" s="192" t="s">
        <v>235</v>
      </c>
      <c r="C37" s="178" t="s">
        <v>258</v>
      </c>
      <c r="D37" s="194">
        <f>Aselec!H23</f>
        <v>433.77777777777777</v>
      </c>
    </row>
    <row r="38" spans="1:4" ht="15.75">
      <c r="A38" s="20">
        <f t="shared" si="0"/>
        <v>37</v>
      </c>
      <c r="B38" s="192" t="s">
        <v>149</v>
      </c>
      <c r="C38" s="91" t="s">
        <v>179</v>
      </c>
      <c r="D38" s="194">
        <f>GLB!F23</f>
        <v>433.2307692307692</v>
      </c>
    </row>
    <row r="39" spans="1:4" ht="15.75">
      <c r="A39" s="20">
        <f t="shared" si="0"/>
        <v>38</v>
      </c>
      <c r="B39" s="233" t="s">
        <v>280</v>
      </c>
      <c r="C39" s="91" t="s">
        <v>20</v>
      </c>
      <c r="D39" s="194">
        <f>Santé!L23</f>
        <v>432.1</v>
      </c>
    </row>
    <row r="40" spans="1:4" ht="15.75">
      <c r="A40" s="20">
        <f t="shared" si="0"/>
        <v>39</v>
      </c>
      <c r="B40" s="234" t="s">
        <v>240</v>
      </c>
      <c r="C40" s="178" t="s">
        <v>282</v>
      </c>
      <c r="D40" s="194">
        <f>Postás!I23</f>
        <v>431.8333333333333</v>
      </c>
    </row>
    <row r="41" spans="1:4" ht="15.75">
      <c r="A41" s="20">
        <f t="shared" si="0"/>
        <v>40</v>
      </c>
      <c r="B41" s="192" t="s">
        <v>152</v>
      </c>
      <c r="C41" s="91" t="s">
        <v>17</v>
      </c>
      <c r="D41" s="194">
        <f>Privát!H23</f>
        <v>431.54545454545456</v>
      </c>
    </row>
    <row r="42" spans="1:4" ht="15.75">
      <c r="A42" s="20">
        <f t="shared" si="0"/>
        <v>41</v>
      </c>
      <c r="B42" s="91" t="s">
        <v>231</v>
      </c>
      <c r="C42" s="178" t="s">
        <v>219</v>
      </c>
      <c r="D42" s="194">
        <f>'Vörös Ördögök'!F23</f>
        <v>431.54545454545456</v>
      </c>
    </row>
    <row r="43" spans="1:4" ht="15.75">
      <c r="A43" s="20">
        <f t="shared" si="0"/>
        <v>42</v>
      </c>
      <c r="B43" s="87" t="s">
        <v>236</v>
      </c>
      <c r="C43" s="178" t="s">
        <v>219</v>
      </c>
      <c r="D43" s="194">
        <f>'Vörös Ördögök'!J23</f>
        <v>430.2307692307692</v>
      </c>
    </row>
    <row r="44" spans="1:4" ht="15.75">
      <c r="A44" s="20">
        <f t="shared" si="0"/>
        <v>43</v>
      </c>
      <c r="B44" s="91" t="s">
        <v>232</v>
      </c>
      <c r="C44" s="178" t="s">
        <v>219</v>
      </c>
      <c r="D44" s="194">
        <f>'Vörös Ördögök'!G23</f>
        <v>430.2307692307692</v>
      </c>
    </row>
    <row r="45" spans="1:4" ht="15.75">
      <c r="A45" s="20">
        <f t="shared" si="0"/>
        <v>44</v>
      </c>
      <c r="B45" s="192" t="s">
        <v>98</v>
      </c>
      <c r="C45" s="91" t="s">
        <v>18</v>
      </c>
      <c r="D45" s="194">
        <f>'Anro ker'!J23</f>
        <v>429.7857142857143</v>
      </c>
    </row>
    <row r="46" spans="1:4" ht="15.75">
      <c r="A46" s="20">
        <f t="shared" si="0"/>
        <v>45</v>
      </c>
      <c r="B46" s="192" t="s">
        <v>115</v>
      </c>
      <c r="C46" s="178" t="s">
        <v>15</v>
      </c>
      <c r="D46" s="194">
        <f>Tápé!I23</f>
        <v>429.3333333333333</v>
      </c>
    </row>
    <row r="47" spans="1:4" ht="15.75">
      <c r="A47" s="20">
        <f t="shared" si="0"/>
        <v>46</v>
      </c>
      <c r="B47" s="192" t="s">
        <v>45</v>
      </c>
      <c r="C47" s="91" t="s">
        <v>23</v>
      </c>
      <c r="D47" s="194">
        <f>Kinizsi!G23</f>
        <v>428</v>
      </c>
    </row>
    <row r="48" spans="1:4" ht="15.75">
      <c r="A48" s="20">
        <f t="shared" si="0"/>
        <v>47</v>
      </c>
      <c r="B48" s="192" t="s">
        <v>238</v>
      </c>
      <c r="C48" s="91" t="s">
        <v>177</v>
      </c>
      <c r="D48" s="194">
        <f>'Temesvári Hús'!E23</f>
        <v>427.61538461538464</v>
      </c>
    </row>
    <row r="49" spans="1:4" ht="15.75">
      <c r="A49" s="20">
        <f t="shared" si="0"/>
        <v>48</v>
      </c>
      <c r="B49" s="192" t="s">
        <v>168</v>
      </c>
      <c r="C49" s="91" t="s">
        <v>257</v>
      </c>
      <c r="D49" s="194">
        <f>'EDF Démász'!J23</f>
        <v>426.7142857142857</v>
      </c>
    </row>
    <row r="50" spans="1:4" ht="15.75">
      <c r="A50" s="20">
        <f t="shared" si="0"/>
        <v>49</v>
      </c>
      <c r="B50" s="192" t="s">
        <v>78</v>
      </c>
      <c r="C50" s="178" t="s">
        <v>218</v>
      </c>
      <c r="D50" s="231">
        <f>Gumigyár!C23</f>
        <v>426.14285714285717</v>
      </c>
    </row>
    <row r="51" spans="1:4" ht="15.75">
      <c r="A51" s="20">
        <f t="shared" si="0"/>
        <v>50</v>
      </c>
      <c r="B51" s="192" t="s">
        <v>59</v>
      </c>
      <c r="C51" s="91" t="s">
        <v>179</v>
      </c>
      <c r="D51" s="194">
        <f>GLB!D23</f>
        <v>426.1</v>
      </c>
    </row>
    <row r="52" spans="1:4" ht="15.75">
      <c r="A52" s="20">
        <f t="shared" si="0"/>
        <v>51</v>
      </c>
      <c r="B52" s="192" t="s">
        <v>100</v>
      </c>
      <c r="C52" s="91" t="s">
        <v>179</v>
      </c>
      <c r="D52" s="93">
        <f>GLB!C23</f>
        <v>422.7</v>
      </c>
    </row>
    <row r="53" spans="1:4" ht="15.75">
      <c r="A53" s="20">
        <f t="shared" si="0"/>
        <v>52</v>
      </c>
      <c r="B53" s="192" t="s">
        <v>224</v>
      </c>
      <c r="C53" s="178" t="s">
        <v>282</v>
      </c>
      <c r="D53" s="194">
        <f>Postás!O23</f>
        <v>425.90909090909093</v>
      </c>
    </row>
    <row r="54" spans="1:4" ht="15.75">
      <c r="A54" s="20">
        <f t="shared" si="0"/>
        <v>53</v>
      </c>
      <c r="B54" s="192" t="s">
        <v>44</v>
      </c>
      <c r="C54" s="91" t="s">
        <v>17</v>
      </c>
      <c r="D54" s="194">
        <f>Privát!E23</f>
        <v>425.5</v>
      </c>
    </row>
    <row r="55" spans="1:4" ht="15.75">
      <c r="A55" s="20">
        <f t="shared" si="0"/>
        <v>54</v>
      </c>
      <c r="B55" s="192" t="s">
        <v>68</v>
      </c>
      <c r="C55" s="91" t="s">
        <v>17</v>
      </c>
      <c r="D55" s="194">
        <f>Privát!K23</f>
        <v>424.90909090909093</v>
      </c>
    </row>
    <row r="56" spans="1:4" ht="15.75">
      <c r="A56" s="20">
        <f t="shared" si="0"/>
        <v>55</v>
      </c>
      <c r="B56" s="192" t="s">
        <v>35</v>
      </c>
      <c r="C56" s="91" t="s">
        <v>23</v>
      </c>
      <c r="D56" s="194">
        <f>Kinizsi!D23</f>
        <v>424</v>
      </c>
    </row>
    <row r="57" spans="1:4" ht="15.75">
      <c r="A57" s="20">
        <f t="shared" si="0"/>
        <v>56</v>
      </c>
      <c r="B57" s="91" t="s">
        <v>65</v>
      </c>
      <c r="C57" s="91" t="s">
        <v>20</v>
      </c>
      <c r="D57" s="194">
        <f>Santé!G23</f>
        <v>423.64285714285717</v>
      </c>
    </row>
    <row r="58" spans="1:4" ht="15.75">
      <c r="A58" s="20">
        <f t="shared" si="0"/>
        <v>57</v>
      </c>
      <c r="B58" s="91" t="s">
        <v>234</v>
      </c>
      <c r="C58" s="91" t="s">
        <v>259</v>
      </c>
      <c r="D58" s="194">
        <f>'Kék Vércsék'!K23</f>
        <v>422.6923076923077</v>
      </c>
    </row>
    <row r="59" spans="1:4" ht="15.75">
      <c r="A59" s="20">
        <f t="shared" si="0"/>
        <v>58</v>
      </c>
      <c r="B59" s="87" t="s">
        <v>169</v>
      </c>
      <c r="C59" s="178" t="s">
        <v>15</v>
      </c>
      <c r="D59" s="194">
        <f>Tápé!D23</f>
        <v>422.61538461538464</v>
      </c>
    </row>
    <row r="60" spans="1:4" ht="15.75">
      <c r="A60" s="20">
        <f t="shared" si="0"/>
        <v>59</v>
      </c>
      <c r="B60" s="192" t="s">
        <v>41</v>
      </c>
      <c r="C60" s="178" t="s">
        <v>15</v>
      </c>
      <c r="D60" s="194">
        <f>Tápé!G23</f>
        <v>422.2142857142857</v>
      </c>
    </row>
    <row r="61" spans="1:4" ht="15.75">
      <c r="A61" s="20">
        <f t="shared" si="0"/>
        <v>60</v>
      </c>
      <c r="B61" s="91" t="s">
        <v>233</v>
      </c>
      <c r="C61" s="178" t="s">
        <v>219</v>
      </c>
      <c r="D61" s="194">
        <f>'Vörös Ördögök'!I23</f>
        <v>422.2</v>
      </c>
    </row>
    <row r="62" spans="1:4" ht="15.75">
      <c r="A62" s="20">
        <f t="shared" si="0"/>
        <v>61</v>
      </c>
      <c r="B62" s="91" t="s">
        <v>53</v>
      </c>
      <c r="C62" s="91" t="s">
        <v>259</v>
      </c>
      <c r="D62" s="194">
        <f>'Kék Vércsék'!G23</f>
        <v>421.6666666666667</v>
      </c>
    </row>
    <row r="63" spans="1:4" ht="15.75">
      <c r="A63" s="20">
        <f t="shared" si="0"/>
        <v>62</v>
      </c>
      <c r="B63" s="91" t="s">
        <v>55</v>
      </c>
      <c r="C63" s="91" t="s">
        <v>259</v>
      </c>
      <c r="D63" s="194">
        <f>'Kék Vércsék'!D23</f>
        <v>421.46153846153845</v>
      </c>
    </row>
    <row r="64" spans="1:4" ht="15.75">
      <c r="A64" s="20">
        <f t="shared" si="0"/>
        <v>63</v>
      </c>
      <c r="B64" s="192" t="s">
        <v>74</v>
      </c>
      <c r="C64" s="91" t="s">
        <v>18</v>
      </c>
      <c r="D64" s="194">
        <f>'Anro ker'!G23</f>
        <v>421.2307692307692</v>
      </c>
    </row>
    <row r="65" spans="1:4" ht="15.75">
      <c r="A65" s="20">
        <f t="shared" si="0"/>
        <v>64</v>
      </c>
      <c r="B65" s="192" t="s">
        <v>39</v>
      </c>
      <c r="C65" s="178" t="s">
        <v>15</v>
      </c>
      <c r="D65" s="194">
        <f>Tápé!E23</f>
        <v>421.06666666666666</v>
      </c>
    </row>
    <row r="66" spans="1:4" ht="15.75">
      <c r="A66" s="20">
        <f t="shared" si="0"/>
        <v>65</v>
      </c>
      <c r="B66" s="91" t="s">
        <v>184</v>
      </c>
      <c r="C66" s="91" t="s">
        <v>180</v>
      </c>
      <c r="D66" s="194">
        <f>Euroteke!J23</f>
        <v>421</v>
      </c>
    </row>
    <row r="67" spans="1:4" ht="15.75">
      <c r="A67" s="20">
        <f t="shared" si="0"/>
        <v>66</v>
      </c>
      <c r="B67" s="192" t="s">
        <v>85</v>
      </c>
      <c r="C67" s="91" t="s">
        <v>177</v>
      </c>
      <c r="D67" s="231">
        <f>'Temesvári Hús'!C23</f>
        <v>421</v>
      </c>
    </row>
    <row r="68" spans="1:4" ht="15.75">
      <c r="A68" s="20">
        <f aca="true" t="shared" si="1" ref="A68:A131">A67+1</f>
        <v>67</v>
      </c>
      <c r="B68" s="192" t="s">
        <v>49</v>
      </c>
      <c r="C68" s="178" t="s">
        <v>258</v>
      </c>
      <c r="D68" s="194">
        <f>Aselec!E23</f>
        <v>420.92857142857144</v>
      </c>
    </row>
    <row r="69" spans="1:4" ht="15.75">
      <c r="A69" s="20">
        <f t="shared" si="1"/>
        <v>68</v>
      </c>
      <c r="B69" s="192" t="s">
        <v>40</v>
      </c>
      <c r="C69" s="178" t="s">
        <v>15</v>
      </c>
      <c r="D69" s="194">
        <f>Tápé!F23</f>
        <v>420.6666666666667</v>
      </c>
    </row>
    <row r="70" spans="1:4" ht="15.75">
      <c r="A70" s="20">
        <f t="shared" si="1"/>
        <v>69</v>
      </c>
      <c r="B70" s="192" t="s">
        <v>156</v>
      </c>
      <c r="C70" s="91" t="s">
        <v>257</v>
      </c>
      <c r="D70" s="194">
        <f>'EDF Démász'!F23</f>
        <v>420.61538461538464</v>
      </c>
    </row>
    <row r="71" spans="1:4" ht="15.75">
      <c r="A71" s="20">
        <f t="shared" si="1"/>
        <v>70</v>
      </c>
      <c r="B71" s="192" t="s">
        <v>83</v>
      </c>
      <c r="C71" s="91" t="s">
        <v>220</v>
      </c>
      <c r="D71" s="194">
        <f>'Amazonok és Titánok'!G23</f>
        <v>421.53333333333336</v>
      </c>
    </row>
    <row r="72" spans="1:4" ht="15.75">
      <c r="A72" s="20">
        <f t="shared" si="1"/>
        <v>71</v>
      </c>
      <c r="B72" s="233" t="s">
        <v>268</v>
      </c>
      <c r="C72" s="178" t="s">
        <v>282</v>
      </c>
      <c r="D72" s="194">
        <f>Postás!G23</f>
        <v>420</v>
      </c>
    </row>
    <row r="73" spans="1:4" ht="15.75">
      <c r="A73" s="20">
        <f t="shared" si="1"/>
        <v>72</v>
      </c>
      <c r="B73" s="91" t="s">
        <v>272</v>
      </c>
      <c r="C73" s="91" t="s">
        <v>180</v>
      </c>
      <c r="D73" s="194">
        <f>Euroteke!D23</f>
        <v>419.93333333333334</v>
      </c>
    </row>
    <row r="74" spans="1:4" ht="15.75">
      <c r="A74" s="20">
        <f t="shared" si="1"/>
        <v>73</v>
      </c>
      <c r="B74" s="91" t="s">
        <v>64</v>
      </c>
      <c r="C74" s="91" t="s">
        <v>20</v>
      </c>
      <c r="D74" s="194">
        <f>Santé!F23</f>
        <v>419.7857142857143</v>
      </c>
    </row>
    <row r="75" spans="1:4" ht="15.75">
      <c r="A75" s="20">
        <f t="shared" si="1"/>
        <v>74</v>
      </c>
      <c r="B75" s="192" t="s">
        <v>94</v>
      </c>
      <c r="C75" s="91" t="s">
        <v>178</v>
      </c>
      <c r="D75" s="194">
        <f>Kalmár!E23</f>
        <v>419.3333333333333</v>
      </c>
    </row>
    <row r="76" spans="1:4" ht="15.75">
      <c r="A76" s="20">
        <f t="shared" si="1"/>
        <v>75</v>
      </c>
      <c r="B76" s="192" t="s">
        <v>173</v>
      </c>
      <c r="C76" s="178" t="s">
        <v>282</v>
      </c>
      <c r="D76" s="194">
        <f>Postás!J23</f>
        <v>419</v>
      </c>
    </row>
    <row r="77" spans="1:4" ht="15.75">
      <c r="A77" s="20">
        <f t="shared" si="1"/>
        <v>76</v>
      </c>
      <c r="B77" s="192" t="s">
        <v>110</v>
      </c>
      <c r="C77" s="91" t="s">
        <v>23</v>
      </c>
      <c r="D77" s="194">
        <f>Kinizsi!M23</f>
        <v>418.4</v>
      </c>
    </row>
    <row r="78" spans="1:4" ht="15.75">
      <c r="A78" s="20">
        <f t="shared" si="1"/>
        <v>77</v>
      </c>
      <c r="B78" s="192" t="s">
        <v>245</v>
      </c>
      <c r="C78" s="178" t="s">
        <v>258</v>
      </c>
      <c r="D78" s="194">
        <f>Aselec!J23</f>
        <v>418.38461538461536</v>
      </c>
    </row>
    <row r="79" spans="1:4" ht="15.75">
      <c r="A79" s="20">
        <f t="shared" si="1"/>
        <v>78</v>
      </c>
      <c r="B79" s="91" t="s">
        <v>190</v>
      </c>
      <c r="C79" s="91" t="s">
        <v>259</v>
      </c>
      <c r="D79" s="194">
        <f>'Kék Vércsék'!E23</f>
        <v>417.85714285714283</v>
      </c>
    </row>
    <row r="80" spans="1:4" ht="15.75">
      <c r="A80" s="20">
        <f t="shared" si="1"/>
        <v>79</v>
      </c>
      <c r="B80" s="192" t="s">
        <v>269</v>
      </c>
      <c r="C80" s="178" t="s">
        <v>282</v>
      </c>
      <c r="D80" s="194">
        <f>Postás!H23</f>
        <v>417.8333333333333</v>
      </c>
    </row>
    <row r="81" spans="1:4" ht="15.75">
      <c r="A81" s="20">
        <f t="shared" si="1"/>
        <v>80</v>
      </c>
      <c r="B81" s="192" t="s">
        <v>154</v>
      </c>
      <c r="C81" s="91" t="s">
        <v>257</v>
      </c>
      <c r="D81" s="93">
        <f>'EDF Démász'!C23</f>
        <v>417</v>
      </c>
    </row>
    <row r="82" spans="1:4" ht="15.75">
      <c r="A82" s="20">
        <f t="shared" si="1"/>
        <v>81</v>
      </c>
      <c r="B82" s="192" t="s">
        <v>84</v>
      </c>
      <c r="C82" s="178" t="s">
        <v>218</v>
      </c>
      <c r="D82" s="194">
        <f>Gumigyár!K23</f>
        <v>416.92857142857144</v>
      </c>
    </row>
    <row r="83" spans="1:4" ht="15.75">
      <c r="A83" s="20">
        <f t="shared" si="1"/>
        <v>82</v>
      </c>
      <c r="B83" s="192" t="s">
        <v>72</v>
      </c>
      <c r="C83" s="91" t="s">
        <v>18</v>
      </c>
      <c r="D83" s="194">
        <f>'Anro ker'!E23</f>
        <v>416.84615384615387</v>
      </c>
    </row>
    <row r="84" spans="1:4" ht="15.75">
      <c r="A84" s="20">
        <f t="shared" si="1"/>
        <v>83</v>
      </c>
      <c r="B84" s="192" t="s">
        <v>92</v>
      </c>
      <c r="C84" s="91" t="s">
        <v>178</v>
      </c>
      <c r="D84" s="194">
        <f>Kalmár!G23</f>
        <v>416.6666666666667</v>
      </c>
    </row>
    <row r="85" spans="1:4" ht="15.75">
      <c r="A85" s="20">
        <f t="shared" si="1"/>
        <v>84</v>
      </c>
      <c r="B85" s="192" t="s">
        <v>105</v>
      </c>
      <c r="C85" s="178" t="s">
        <v>258</v>
      </c>
      <c r="D85" s="194">
        <f>Aselec!I23</f>
        <v>416.5</v>
      </c>
    </row>
    <row r="86" spans="1:4" ht="15.75">
      <c r="A86" s="20">
        <f t="shared" si="1"/>
        <v>85</v>
      </c>
      <c r="B86" s="91" t="s">
        <v>46</v>
      </c>
      <c r="C86" s="91" t="s">
        <v>180</v>
      </c>
      <c r="D86" s="194">
        <f>Euroteke!H23</f>
        <v>415.53333333333336</v>
      </c>
    </row>
    <row r="87" spans="1:4" ht="15.75">
      <c r="A87" s="20">
        <f t="shared" si="1"/>
        <v>86</v>
      </c>
      <c r="B87" s="91" t="s">
        <v>108</v>
      </c>
      <c r="C87" s="91" t="s">
        <v>259</v>
      </c>
      <c r="D87" s="194">
        <f>'Kék Vércsék'!J23</f>
        <v>415.5</v>
      </c>
    </row>
    <row r="88" spans="1:4" ht="15.75">
      <c r="A88" s="20">
        <f t="shared" si="1"/>
        <v>87</v>
      </c>
      <c r="B88" s="192" t="s">
        <v>223</v>
      </c>
      <c r="C88" s="178" t="s">
        <v>282</v>
      </c>
      <c r="D88" s="194">
        <f>Postás!F23</f>
        <v>414</v>
      </c>
    </row>
    <row r="89" spans="1:4" ht="15.75">
      <c r="A89" s="20">
        <f t="shared" si="1"/>
        <v>88</v>
      </c>
      <c r="B89" s="192" t="s">
        <v>58</v>
      </c>
      <c r="C89" s="91" t="s">
        <v>220</v>
      </c>
      <c r="D89" s="194">
        <f>'Amazonok és Titánok'!E23</f>
        <v>414.6666666666667</v>
      </c>
    </row>
    <row r="90" spans="1:4" ht="15.75">
      <c r="A90" s="20">
        <f t="shared" si="1"/>
        <v>89</v>
      </c>
      <c r="B90" s="192" t="s">
        <v>89</v>
      </c>
      <c r="C90" s="178" t="s">
        <v>282</v>
      </c>
      <c r="D90" s="194">
        <f>Postás!L23</f>
        <v>413.1666666666667</v>
      </c>
    </row>
    <row r="91" spans="1:4" ht="15.75">
      <c r="A91" s="20">
        <f t="shared" si="1"/>
        <v>90</v>
      </c>
      <c r="B91" s="192" t="s">
        <v>95</v>
      </c>
      <c r="C91" s="91" t="s">
        <v>177</v>
      </c>
      <c r="D91" s="194">
        <f>'Temesvári Hús'!D23</f>
        <v>413.09090909090907</v>
      </c>
    </row>
    <row r="92" spans="1:4" ht="15.75">
      <c r="A92" s="20">
        <f t="shared" si="1"/>
        <v>91</v>
      </c>
      <c r="B92" s="91" t="s">
        <v>88</v>
      </c>
      <c r="C92" s="91" t="s">
        <v>20</v>
      </c>
      <c r="D92" s="194">
        <f>Santé!I23</f>
        <v>413</v>
      </c>
    </row>
    <row r="93" spans="1:4" ht="15.75">
      <c r="A93" s="20">
        <f t="shared" si="1"/>
        <v>92</v>
      </c>
      <c r="B93" s="192" t="s">
        <v>80</v>
      </c>
      <c r="C93" s="178" t="s">
        <v>218</v>
      </c>
      <c r="D93" s="194">
        <f>Gumigyár!H23</f>
        <v>412.57142857142856</v>
      </c>
    </row>
    <row r="94" spans="1:4" ht="15.75">
      <c r="A94" s="20">
        <f t="shared" si="1"/>
        <v>93</v>
      </c>
      <c r="B94" s="91" t="s">
        <v>87</v>
      </c>
      <c r="C94" s="91" t="s">
        <v>20</v>
      </c>
      <c r="D94" s="194">
        <f>Santé!H23</f>
        <v>412.46153846153845</v>
      </c>
    </row>
    <row r="95" spans="1:4" ht="15.75">
      <c r="A95" s="20">
        <f t="shared" si="1"/>
        <v>94</v>
      </c>
      <c r="B95" s="192" t="s">
        <v>90</v>
      </c>
      <c r="C95" s="178" t="s">
        <v>282</v>
      </c>
      <c r="D95" s="194">
        <f>Postás!K23</f>
        <v>412.2857142857143</v>
      </c>
    </row>
    <row r="96" spans="1:4" ht="15.75">
      <c r="A96" s="20">
        <f t="shared" si="1"/>
        <v>95</v>
      </c>
      <c r="B96" s="192" t="s">
        <v>109</v>
      </c>
      <c r="C96" s="91" t="s">
        <v>257</v>
      </c>
      <c r="D96" s="194">
        <f>'EDF Démász'!L23</f>
        <v>412</v>
      </c>
    </row>
    <row r="97" spans="1:4" ht="15.75">
      <c r="A97" s="20">
        <f t="shared" si="1"/>
        <v>96</v>
      </c>
      <c r="B97" s="91" t="s">
        <v>183</v>
      </c>
      <c r="C97" s="91" t="s">
        <v>180</v>
      </c>
      <c r="D97" s="194">
        <f>Euroteke!E23</f>
        <v>412</v>
      </c>
    </row>
    <row r="98" spans="1:4" ht="15.75">
      <c r="A98" s="20">
        <f t="shared" si="1"/>
        <v>97</v>
      </c>
      <c r="B98" s="192" t="s">
        <v>279</v>
      </c>
      <c r="C98" s="91" t="s">
        <v>17</v>
      </c>
      <c r="D98" s="194">
        <f>Privát!J23</f>
        <v>411.3333333333333</v>
      </c>
    </row>
    <row r="99" spans="1:4" ht="15.75">
      <c r="A99" s="20">
        <f t="shared" si="1"/>
        <v>98</v>
      </c>
      <c r="B99" s="192" t="s">
        <v>67</v>
      </c>
      <c r="C99" s="91" t="s">
        <v>177</v>
      </c>
      <c r="D99" s="194">
        <f>'Temesvári Hús'!F23</f>
        <v>411.14285714285717</v>
      </c>
    </row>
    <row r="100" spans="1:4" ht="15.75">
      <c r="A100" s="20">
        <f t="shared" si="1"/>
        <v>99</v>
      </c>
      <c r="B100" s="192" t="s">
        <v>47</v>
      </c>
      <c r="C100" s="178" t="s">
        <v>258</v>
      </c>
      <c r="D100" s="93">
        <f>Aselec!C23</f>
        <v>409</v>
      </c>
    </row>
    <row r="101" spans="1:4" ht="15.75">
      <c r="A101" s="20">
        <f t="shared" si="1"/>
        <v>100</v>
      </c>
      <c r="B101" s="192" t="s">
        <v>151</v>
      </c>
      <c r="C101" s="91" t="s">
        <v>17</v>
      </c>
      <c r="D101" s="194">
        <f>Privát!G23</f>
        <v>408.7142857142857</v>
      </c>
    </row>
    <row r="102" spans="1:4" ht="15.75">
      <c r="A102" s="20">
        <f t="shared" si="1"/>
        <v>101</v>
      </c>
      <c r="B102" s="192" t="s">
        <v>38</v>
      </c>
      <c r="C102" s="91" t="s">
        <v>23</v>
      </c>
      <c r="D102" s="194">
        <f>Kinizsi!J23</f>
        <v>407.5</v>
      </c>
    </row>
    <row r="103" spans="1:4" ht="15.75">
      <c r="A103" s="20">
        <f t="shared" si="1"/>
        <v>102</v>
      </c>
      <c r="B103" s="192" t="s">
        <v>50</v>
      </c>
      <c r="C103" s="178" t="s">
        <v>258</v>
      </c>
      <c r="D103" s="194">
        <f>Aselec!F23</f>
        <v>407.0833333333333</v>
      </c>
    </row>
    <row r="104" spans="1:4" ht="15.75">
      <c r="A104" s="20">
        <f t="shared" si="1"/>
        <v>103</v>
      </c>
      <c r="B104" s="91" t="s">
        <v>186</v>
      </c>
      <c r="C104" s="91" t="s">
        <v>180</v>
      </c>
      <c r="D104" s="194">
        <f>Euroteke!I23</f>
        <v>406.75</v>
      </c>
    </row>
    <row r="105" spans="1:4" ht="15.75">
      <c r="A105" s="20">
        <f t="shared" si="1"/>
        <v>104</v>
      </c>
      <c r="B105" s="192" t="s">
        <v>30</v>
      </c>
      <c r="C105" s="91" t="s">
        <v>220</v>
      </c>
      <c r="D105" s="194">
        <f>'Amazonok és Titánok'!J23</f>
        <v>404.0833333333333</v>
      </c>
    </row>
    <row r="106" spans="1:4" ht="15.75">
      <c r="A106" s="20">
        <f t="shared" si="1"/>
        <v>105</v>
      </c>
      <c r="B106" s="192" t="s">
        <v>71</v>
      </c>
      <c r="C106" s="91" t="s">
        <v>18</v>
      </c>
      <c r="D106" s="194">
        <f>'Anro ker'!D23</f>
        <v>405.3636363636364</v>
      </c>
    </row>
    <row r="107" spans="1:4" ht="15.75">
      <c r="A107" s="20">
        <f t="shared" si="1"/>
        <v>106</v>
      </c>
      <c r="B107" s="192" t="s">
        <v>104</v>
      </c>
      <c r="C107" s="178" t="s">
        <v>15</v>
      </c>
      <c r="D107" s="194">
        <f>Tápé!J23</f>
        <v>404.4</v>
      </c>
    </row>
    <row r="108" spans="1:4" ht="15.75">
      <c r="A108" s="20">
        <f t="shared" si="1"/>
        <v>107</v>
      </c>
      <c r="B108" s="192" t="s">
        <v>75</v>
      </c>
      <c r="C108" s="178" t="s">
        <v>282</v>
      </c>
      <c r="D108" s="93">
        <f>Postás!C23</f>
        <v>403.54545454545456</v>
      </c>
    </row>
    <row r="109" spans="1:4" ht="15.75">
      <c r="A109" s="20">
        <f t="shared" si="1"/>
        <v>108</v>
      </c>
      <c r="B109" s="192" t="s">
        <v>70</v>
      </c>
      <c r="C109" s="91" t="s">
        <v>18</v>
      </c>
      <c r="D109" s="93">
        <f>'Anro ker'!C23</f>
        <v>402.8333333333333</v>
      </c>
    </row>
    <row r="110" spans="1:4" ht="15.75">
      <c r="A110" s="20">
        <f t="shared" si="1"/>
        <v>109</v>
      </c>
      <c r="B110" s="192" t="s">
        <v>62</v>
      </c>
      <c r="C110" s="91" t="s">
        <v>20</v>
      </c>
      <c r="D110" s="194">
        <f>Santé!D23</f>
        <v>402.75</v>
      </c>
    </row>
    <row r="111" spans="1:4" ht="15.75">
      <c r="A111" s="20">
        <f t="shared" si="1"/>
        <v>110</v>
      </c>
      <c r="B111" s="192" t="s">
        <v>157</v>
      </c>
      <c r="C111" s="91" t="s">
        <v>257</v>
      </c>
      <c r="D111" s="194">
        <f>'EDF Démász'!G23</f>
        <v>402.6666666666667</v>
      </c>
    </row>
    <row r="112" spans="1:4" ht="15.75">
      <c r="A112" s="20">
        <f t="shared" si="1"/>
        <v>111</v>
      </c>
      <c r="B112" s="192" t="s">
        <v>191</v>
      </c>
      <c r="C112" s="91" t="s">
        <v>18</v>
      </c>
      <c r="D112" s="194">
        <f>'Anro ker'!K23</f>
        <v>402.42857142857144</v>
      </c>
    </row>
    <row r="113" spans="1:4" ht="15.75">
      <c r="A113" s="20">
        <f t="shared" si="1"/>
        <v>112</v>
      </c>
      <c r="B113" s="192" t="s">
        <v>241</v>
      </c>
      <c r="C113" s="91" t="s">
        <v>220</v>
      </c>
      <c r="D113" s="194">
        <f>'Amazonok és Titánok'!F23</f>
        <v>400.9</v>
      </c>
    </row>
    <row r="114" spans="1:4" ht="15.75">
      <c r="A114" s="20">
        <f t="shared" si="1"/>
        <v>113</v>
      </c>
      <c r="B114" s="192" t="s">
        <v>170</v>
      </c>
      <c r="C114" s="178" t="s">
        <v>282</v>
      </c>
      <c r="D114" s="194">
        <f>Postás!N23</f>
        <v>399.8</v>
      </c>
    </row>
    <row r="115" spans="1:4" ht="15.75">
      <c r="A115" s="20">
        <f t="shared" si="1"/>
        <v>114</v>
      </c>
      <c r="B115" s="192" t="s">
        <v>57</v>
      </c>
      <c r="C115" s="91" t="s">
        <v>220</v>
      </c>
      <c r="D115" s="194">
        <f>'Amazonok és Titánok'!D23</f>
        <v>399.7</v>
      </c>
    </row>
    <row r="116" spans="1:4" ht="15.75">
      <c r="A116" s="20">
        <f t="shared" si="1"/>
        <v>115</v>
      </c>
      <c r="B116" s="192" t="s">
        <v>91</v>
      </c>
      <c r="C116" s="91" t="s">
        <v>178</v>
      </c>
      <c r="D116" s="93">
        <f>Kalmár!C23</f>
        <v>399</v>
      </c>
    </row>
    <row r="117" spans="1:4" ht="15.75">
      <c r="A117" s="20">
        <f t="shared" si="1"/>
        <v>116</v>
      </c>
      <c r="B117" s="192" t="s">
        <v>251</v>
      </c>
      <c r="C117" s="178" t="s">
        <v>218</v>
      </c>
      <c r="D117" s="194">
        <f>Gumigyár!L23</f>
        <v>398.77777777777777</v>
      </c>
    </row>
    <row r="118" spans="1:4" ht="15.75">
      <c r="A118" s="20">
        <f t="shared" si="1"/>
        <v>117</v>
      </c>
      <c r="B118" s="192" t="s">
        <v>76</v>
      </c>
      <c r="C118" s="178" t="s">
        <v>282</v>
      </c>
      <c r="D118" s="194">
        <f>Postás!D23</f>
        <v>398.6</v>
      </c>
    </row>
    <row r="119" spans="1:4" ht="15.75">
      <c r="A119" s="20">
        <f t="shared" si="1"/>
        <v>118</v>
      </c>
      <c r="B119" s="91" t="s">
        <v>230</v>
      </c>
      <c r="C119" s="178" t="s">
        <v>219</v>
      </c>
      <c r="D119" s="194">
        <f>'Vörös Ördögök'!D23</f>
        <v>424.75</v>
      </c>
    </row>
    <row r="120" spans="1:4" ht="15.75">
      <c r="A120" s="20">
        <f t="shared" si="1"/>
        <v>119</v>
      </c>
      <c r="B120" s="87" t="s">
        <v>217</v>
      </c>
      <c r="C120" s="91" t="s">
        <v>178</v>
      </c>
      <c r="D120" s="194">
        <f>Kalmár!L23</f>
        <v>397.6</v>
      </c>
    </row>
    <row r="121" spans="1:4" ht="15.75">
      <c r="A121" s="20">
        <f t="shared" si="1"/>
        <v>120</v>
      </c>
      <c r="B121" s="91" t="s">
        <v>99</v>
      </c>
      <c r="C121" s="91" t="s">
        <v>259</v>
      </c>
      <c r="D121" s="194">
        <f>'Kék Vércsék'!I23</f>
        <v>396.5</v>
      </c>
    </row>
    <row r="122" spans="1:4" ht="15.75">
      <c r="A122" s="20">
        <f t="shared" si="1"/>
        <v>121</v>
      </c>
      <c r="B122" s="91" t="s">
        <v>182</v>
      </c>
      <c r="C122" s="91" t="s">
        <v>180</v>
      </c>
      <c r="D122" s="93">
        <f>Euroteke!C23</f>
        <v>395.1</v>
      </c>
    </row>
    <row r="123" spans="1:4" ht="15.75">
      <c r="A123" s="20">
        <f t="shared" si="1"/>
        <v>122</v>
      </c>
      <c r="B123" s="91" t="s">
        <v>254</v>
      </c>
      <c r="C123" s="91" t="s">
        <v>20</v>
      </c>
      <c r="D123" s="194">
        <f>Santé!J23</f>
        <v>393</v>
      </c>
    </row>
    <row r="124" spans="1:4" ht="15.75">
      <c r="A124" s="20">
        <f t="shared" si="1"/>
        <v>123</v>
      </c>
      <c r="B124" s="192" t="s">
        <v>77</v>
      </c>
      <c r="C124" s="178" t="s">
        <v>282</v>
      </c>
      <c r="D124" s="194">
        <f>Postás!E23</f>
        <v>388</v>
      </c>
    </row>
    <row r="125" spans="1:4" ht="15.75">
      <c r="A125" s="20">
        <f t="shared" si="1"/>
        <v>124</v>
      </c>
      <c r="B125" s="91" t="s">
        <v>181</v>
      </c>
      <c r="C125" s="178" t="s">
        <v>219</v>
      </c>
      <c r="D125" s="194">
        <f>'Vörös Ördögök'!H23</f>
        <v>421.2</v>
      </c>
    </row>
    <row r="126" spans="1:4" ht="15.75">
      <c r="A126" s="20">
        <f t="shared" si="1"/>
        <v>125</v>
      </c>
      <c r="B126" s="91" t="s">
        <v>52</v>
      </c>
      <c r="C126" s="91" t="s">
        <v>259</v>
      </c>
      <c r="D126" s="194">
        <f>'Kék Vércsék'!H23</f>
        <v>384</v>
      </c>
    </row>
    <row r="127" spans="1:4" ht="15.75">
      <c r="A127" s="20">
        <f t="shared" si="1"/>
        <v>126</v>
      </c>
      <c r="B127" s="192" t="s">
        <v>51</v>
      </c>
      <c r="C127" s="178" t="s">
        <v>258</v>
      </c>
      <c r="D127" s="194">
        <f>Aselec!G23</f>
        <v>382</v>
      </c>
    </row>
    <row r="128" spans="1:4" ht="15.75">
      <c r="A128" s="20">
        <f t="shared" si="1"/>
        <v>127</v>
      </c>
      <c r="B128" s="91" t="s">
        <v>284</v>
      </c>
      <c r="C128" s="91" t="s">
        <v>258</v>
      </c>
      <c r="D128" s="194">
        <f>Aselec!K23</f>
        <v>381</v>
      </c>
    </row>
    <row r="129" spans="1:4" ht="15.75">
      <c r="A129" s="20">
        <f t="shared" si="1"/>
        <v>128</v>
      </c>
      <c r="B129" s="192" t="s">
        <v>172</v>
      </c>
      <c r="C129" s="91" t="s">
        <v>177</v>
      </c>
      <c r="D129" s="194">
        <f>'Temesvári Hús'!K23</f>
        <v>376</v>
      </c>
    </row>
    <row r="130" spans="1:4" ht="15.75">
      <c r="A130" s="20">
        <f t="shared" si="1"/>
        <v>129</v>
      </c>
      <c r="B130" s="192" t="s">
        <v>158</v>
      </c>
      <c r="C130" s="91" t="s">
        <v>257</v>
      </c>
      <c r="D130" s="194">
        <f>'EDF Démász'!H23</f>
        <v>373.9166666666667</v>
      </c>
    </row>
    <row r="131" spans="1:4" ht="15.75">
      <c r="A131" s="20">
        <f t="shared" si="1"/>
        <v>130</v>
      </c>
      <c r="B131" s="192" t="s">
        <v>155</v>
      </c>
      <c r="C131" s="91" t="s">
        <v>257</v>
      </c>
      <c r="D131" s="194">
        <f>'EDF Démász'!D23</f>
        <v>371</v>
      </c>
    </row>
    <row r="132" spans="1:4" ht="15.75">
      <c r="A132" s="20">
        <f aca="true" t="shared" si="2" ref="A132:A161">A131+1</f>
        <v>131</v>
      </c>
      <c r="B132" s="192" t="s">
        <v>69</v>
      </c>
      <c r="C132" s="91" t="s">
        <v>177</v>
      </c>
      <c r="D132" s="194">
        <f>'Temesvári Hús'!I23</f>
        <v>369.5</v>
      </c>
    </row>
    <row r="133" spans="1:4" ht="15.75">
      <c r="A133" s="20">
        <f t="shared" si="2"/>
        <v>132</v>
      </c>
      <c r="B133" s="91" t="s">
        <v>185</v>
      </c>
      <c r="C133" s="91" t="s">
        <v>180</v>
      </c>
      <c r="D133" s="194">
        <f>Euroteke!L23</f>
        <v>366.44444444444446</v>
      </c>
    </row>
    <row r="134" spans="1:4" ht="15.75">
      <c r="A134" s="20">
        <f t="shared" si="2"/>
        <v>133</v>
      </c>
      <c r="B134" s="192" t="s">
        <v>120</v>
      </c>
      <c r="C134" s="91" t="s">
        <v>18</v>
      </c>
      <c r="D134" s="194">
        <f>'Anro ker'!H23</f>
        <v>364</v>
      </c>
    </row>
    <row r="135" spans="1:4" ht="15.75">
      <c r="A135" s="20">
        <f t="shared" si="2"/>
        <v>134</v>
      </c>
      <c r="B135" s="192" t="s">
        <v>267</v>
      </c>
      <c r="C135" s="91" t="s">
        <v>257</v>
      </c>
      <c r="D135" s="194">
        <f>'EDF Démász'!E23</f>
        <v>363.3333333333333</v>
      </c>
    </row>
    <row r="136" spans="1:4" ht="15.75">
      <c r="A136" s="20">
        <f t="shared" si="2"/>
        <v>135</v>
      </c>
      <c r="B136" s="88" t="s">
        <v>249</v>
      </c>
      <c r="C136" s="91" t="s">
        <v>259</v>
      </c>
      <c r="D136" s="194">
        <f>'Kék Vércsék'!L23</f>
        <v>358</v>
      </c>
    </row>
    <row r="137" spans="1:4" ht="15.75">
      <c r="A137" s="20">
        <f t="shared" si="2"/>
        <v>136</v>
      </c>
      <c r="B137" s="192" t="s">
        <v>244</v>
      </c>
      <c r="C137" s="178" t="s">
        <v>218</v>
      </c>
      <c r="D137" s="194">
        <f>Gumigyár!D23</f>
        <v>353.25</v>
      </c>
    </row>
    <row r="138" spans="1:4" ht="15.75">
      <c r="A138" s="20">
        <f t="shared" si="2"/>
        <v>137</v>
      </c>
      <c r="B138" s="192" t="s">
        <v>252</v>
      </c>
      <c r="C138" s="91" t="s">
        <v>17</v>
      </c>
      <c r="D138" s="194">
        <f>Privát!F23</f>
        <v>0</v>
      </c>
    </row>
    <row r="139" spans="1:4" ht="15.75">
      <c r="A139" s="20">
        <f t="shared" si="2"/>
        <v>138</v>
      </c>
      <c r="B139" s="192" t="s">
        <v>167</v>
      </c>
      <c r="C139" s="91" t="s">
        <v>17</v>
      </c>
      <c r="D139" s="194">
        <f>Privát!I23</f>
        <v>0</v>
      </c>
    </row>
    <row r="140" spans="1:4" ht="15.75">
      <c r="A140" s="20">
        <f t="shared" si="2"/>
        <v>139</v>
      </c>
      <c r="B140" s="192" t="s">
        <v>222</v>
      </c>
      <c r="C140" s="91" t="s">
        <v>17</v>
      </c>
      <c r="D140" s="194">
        <f>Privát!M23</f>
        <v>0</v>
      </c>
    </row>
    <row r="141" spans="1:4" ht="15.75">
      <c r="A141" s="20">
        <f t="shared" si="2"/>
        <v>140</v>
      </c>
      <c r="B141" s="192" t="s">
        <v>96</v>
      </c>
      <c r="C141" s="91" t="s">
        <v>178</v>
      </c>
      <c r="D141" s="194">
        <f>Kalmár!H23</f>
        <v>0</v>
      </c>
    </row>
    <row r="142" spans="1:4" ht="15.75">
      <c r="A142" s="20">
        <f t="shared" si="2"/>
        <v>141</v>
      </c>
      <c r="B142" s="192" t="s">
        <v>119</v>
      </c>
      <c r="C142" s="91" t="s">
        <v>178</v>
      </c>
      <c r="D142" s="194">
        <f>Kalmár!I23</f>
        <v>0</v>
      </c>
    </row>
    <row r="143" spans="1:4" ht="15.75">
      <c r="A143" s="20">
        <f t="shared" si="2"/>
        <v>142</v>
      </c>
      <c r="B143" s="192" t="s">
        <v>34</v>
      </c>
      <c r="C143" s="91" t="s">
        <v>23</v>
      </c>
      <c r="D143" s="93">
        <f>Kinizsi!C23</f>
        <v>0</v>
      </c>
    </row>
    <row r="144" spans="1:4" ht="15.75">
      <c r="A144" s="20">
        <f t="shared" si="2"/>
        <v>143</v>
      </c>
      <c r="B144" s="192" t="s">
        <v>264</v>
      </c>
      <c r="C144" s="91" t="s">
        <v>23</v>
      </c>
      <c r="D144" s="194">
        <f>Kinizsi!H23</f>
        <v>0</v>
      </c>
    </row>
    <row r="145" spans="1:4" ht="15.75">
      <c r="A145" s="20">
        <f t="shared" si="2"/>
        <v>144</v>
      </c>
      <c r="B145" s="91" t="s">
        <v>229</v>
      </c>
      <c r="C145" s="178" t="s">
        <v>219</v>
      </c>
      <c r="D145" s="93">
        <f>'Vörös Ördögök'!C23</f>
        <v>0</v>
      </c>
    </row>
    <row r="146" spans="1:4" ht="15.75">
      <c r="A146" s="20">
        <f t="shared" si="2"/>
        <v>145</v>
      </c>
      <c r="B146" s="87" t="s">
        <v>242</v>
      </c>
      <c r="C146" s="178" t="s">
        <v>219</v>
      </c>
      <c r="D146" s="194">
        <f>'Vörös Ördögök'!K23</f>
        <v>0</v>
      </c>
    </row>
    <row r="147" spans="1:4" ht="15.75">
      <c r="A147" s="20">
        <f t="shared" si="2"/>
        <v>146</v>
      </c>
      <c r="B147" s="192" t="s">
        <v>73</v>
      </c>
      <c r="C147" s="91" t="s">
        <v>18</v>
      </c>
      <c r="D147" s="194">
        <f>'Anro ker'!F23</f>
        <v>0</v>
      </c>
    </row>
    <row r="148" spans="1:4" ht="15.75">
      <c r="A148" s="20">
        <f t="shared" si="2"/>
        <v>147</v>
      </c>
      <c r="B148" s="91" t="s">
        <v>239</v>
      </c>
      <c r="C148" s="91" t="s">
        <v>180</v>
      </c>
      <c r="D148" s="194">
        <f>Euroteke!F23</f>
        <v>0</v>
      </c>
    </row>
    <row r="149" spans="1:4" ht="15.75">
      <c r="A149" s="20">
        <f t="shared" si="2"/>
        <v>148</v>
      </c>
      <c r="B149" s="192" t="s">
        <v>274</v>
      </c>
      <c r="C149" s="91" t="s">
        <v>180</v>
      </c>
      <c r="D149" s="194">
        <f>Euroteke!G23</f>
        <v>0</v>
      </c>
    </row>
    <row r="150" spans="1:4" ht="15.75">
      <c r="A150" s="20">
        <f t="shared" si="2"/>
        <v>149</v>
      </c>
      <c r="B150" s="91" t="s">
        <v>273</v>
      </c>
      <c r="C150" s="91" t="s">
        <v>180</v>
      </c>
      <c r="D150" s="194">
        <f>Euroteke!K23</f>
        <v>0</v>
      </c>
    </row>
    <row r="151" spans="1:4" ht="15.75">
      <c r="A151" s="20">
        <f t="shared" si="2"/>
        <v>150</v>
      </c>
      <c r="B151" s="192" t="s">
        <v>171</v>
      </c>
      <c r="C151" s="91" t="s">
        <v>220</v>
      </c>
      <c r="D151" s="194">
        <f>'Amazonok és Titánok'!I23</f>
        <v>0</v>
      </c>
    </row>
    <row r="152" spans="1:4" ht="15.75">
      <c r="A152" s="20">
        <f t="shared" si="2"/>
        <v>151</v>
      </c>
      <c r="B152" s="192" t="s">
        <v>221</v>
      </c>
      <c r="C152" s="91" t="s">
        <v>220</v>
      </c>
      <c r="D152" s="194">
        <f>'Amazonok és Titánok'!K23</f>
        <v>0</v>
      </c>
    </row>
    <row r="153" spans="1:4" ht="15.75">
      <c r="A153" s="20">
        <f t="shared" si="2"/>
        <v>152</v>
      </c>
      <c r="B153" s="192" t="s">
        <v>86</v>
      </c>
      <c r="C153" s="91" t="s">
        <v>177</v>
      </c>
      <c r="D153" s="194">
        <f>'Temesvári Hús'!J23</f>
        <v>0</v>
      </c>
    </row>
    <row r="154" spans="1:4" ht="15.75">
      <c r="A154" s="20">
        <f t="shared" si="2"/>
        <v>153</v>
      </c>
      <c r="B154" s="192" t="s">
        <v>133</v>
      </c>
      <c r="C154" s="178" t="s">
        <v>15</v>
      </c>
      <c r="D154" s="93">
        <f>Tápé!C23</f>
        <v>0</v>
      </c>
    </row>
    <row r="155" spans="1:4" ht="15.75">
      <c r="A155" s="20">
        <f t="shared" si="2"/>
        <v>154</v>
      </c>
      <c r="B155" s="192" t="s">
        <v>106</v>
      </c>
      <c r="C155" s="178" t="s">
        <v>15</v>
      </c>
      <c r="D155" s="194">
        <f>Tápé!K23</f>
        <v>0</v>
      </c>
    </row>
    <row r="156" spans="1:4" ht="15.75">
      <c r="A156" s="20">
        <f t="shared" si="2"/>
        <v>155</v>
      </c>
      <c r="B156" s="192" t="s">
        <v>281</v>
      </c>
      <c r="C156" s="178" t="s">
        <v>15</v>
      </c>
      <c r="D156" s="194">
        <f>Tápé!L23</f>
        <v>0</v>
      </c>
    </row>
    <row r="157" spans="1:4" ht="15.75">
      <c r="A157" s="20">
        <f t="shared" si="2"/>
        <v>156</v>
      </c>
      <c r="B157" s="192" t="s">
        <v>60</v>
      </c>
      <c r="C157" s="91" t="s">
        <v>179</v>
      </c>
      <c r="D157" s="194">
        <f>GLB!J23</f>
        <v>0</v>
      </c>
    </row>
    <row r="158" spans="1:4" ht="15.75">
      <c r="A158" s="20">
        <f t="shared" si="2"/>
        <v>157</v>
      </c>
      <c r="B158" s="192" t="s">
        <v>153</v>
      </c>
      <c r="C158" s="91" t="s">
        <v>179</v>
      </c>
      <c r="D158" s="194">
        <f>GLB!M23</f>
        <v>0</v>
      </c>
    </row>
    <row r="159" spans="1:4" ht="15.75">
      <c r="A159" s="20">
        <f t="shared" si="2"/>
        <v>158</v>
      </c>
      <c r="B159" s="192" t="s">
        <v>132</v>
      </c>
      <c r="C159" s="91" t="s">
        <v>257</v>
      </c>
      <c r="D159" s="194">
        <f>'EDF Démász'!I23</f>
        <v>0</v>
      </c>
    </row>
    <row r="160" spans="1:4" ht="15.75">
      <c r="A160" s="20">
        <f t="shared" si="2"/>
        <v>159</v>
      </c>
      <c r="B160" s="192" t="s">
        <v>79</v>
      </c>
      <c r="C160" s="178" t="s">
        <v>218</v>
      </c>
      <c r="D160" s="194">
        <f>Gumigyár!E23</f>
        <v>0</v>
      </c>
    </row>
    <row r="161" spans="1:4" ht="15.75">
      <c r="A161" s="20">
        <f t="shared" si="2"/>
        <v>160</v>
      </c>
      <c r="B161" s="192" t="s">
        <v>253</v>
      </c>
      <c r="C161" s="178" t="s">
        <v>218</v>
      </c>
      <c r="D161" s="194">
        <f>Gumigyár!F23</f>
        <v>0</v>
      </c>
    </row>
    <row r="162" spans="1:4" ht="15.75">
      <c r="A162" s="20">
        <v>161</v>
      </c>
      <c r="B162" s="192" t="s">
        <v>82</v>
      </c>
      <c r="C162" s="178" t="s">
        <v>218</v>
      </c>
      <c r="D162" s="194">
        <f>Gumigyár!J23</f>
        <v>0</v>
      </c>
    </row>
    <row r="163" spans="1:4" ht="15.75">
      <c r="A163" s="20">
        <v>162</v>
      </c>
      <c r="B163" s="192" t="s">
        <v>114</v>
      </c>
      <c r="C163" s="178" t="s">
        <v>282</v>
      </c>
      <c r="D163" s="194">
        <f>Postás!M23</f>
        <v>0</v>
      </c>
    </row>
    <row r="164" spans="2:4" ht="15.75">
      <c r="B164" s="91"/>
      <c r="C164" s="91"/>
      <c r="D164" s="93"/>
    </row>
    <row r="165" spans="2:4" ht="15.75">
      <c r="B165" s="91"/>
      <c r="C165" s="91"/>
      <c r="D165" s="92"/>
    </row>
    <row r="166" spans="2:4" ht="15.75">
      <c r="B166" s="91"/>
      <c r="C166" s="91"/>
      <c r="D166" s="93"/>
    </row>
    <row r="167" spans="2:4" ht="15.75">
      <c r="B167" s="91"/>
      <c r="C167" s="91"/>
      <c r="D167" s="93"/>
    </row>
    <row r="168" spans="2:4" ht="15.75">
      <c r="B168" s="91"/>
      <c r="C168" s="91"/>
      <c r="D168" s="93"/>
    </row>
    <row r="169" spans="2:4" ht="15.75">
      <c r="B169" s="91"/>
      <c r="C169" s="91"/>
      <c r="D169" s="93"/>
    </row>
    <row r="170" spans="2:4" ht="15.75">
      <c r="B170" s="91"/>
      <c r="C170" s="91"/>
      <c r="D170" s="93"/>
    </row>
    <row r="171" spans="2:4" ht="15.75">
      <c r="B171" s="91"/>
      <c r="C171" s="91"/>
      <c r="D171" s="93"/>
    </row>
    <row r="172" spans="2:4" ht="15.75">
      <c r="B172" s="91"/>
      <c r="C172" s="91"/>
      <c r="D172" s="93"/>
    </row>
    <row r="173" spans="2:4" ht="15.75">
      <c r="B173" s="91"/>
      <c r="C173" s="91"/>
      <c r="D173" s="93"/>
    </row>
    <row r="174" spans="2:4" ht="15.75">
      <c r="B174" s="91"/>
      <c r="C174" s="91"/>
      <c r="D174" s="93"/>
    </row>
    <row r="175" spans="2:4" ht="15.75">
      <c r="B175" s="91"/>
      <c r="C175" s="91"/>
      <c r="D175" s="93"/>
    </row>
    <row r="176" spans="2:4" ht="15.75">
      <c r="B176" s="91"/>
      <c r="C176" s="91"/>
      <c r="D176" s="93"/>
    </row>
    <row r="177" ht="15.75">
      <c r="D177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2" width="19.75390625" style="0" customWidth="1"/>
    <col min="3" max="3" width="10.25390625" style="0" customWidth="1"/>
    <col min="7" max="7" width="6.375" style="0" customWidth="1"/>
    <col min="8" max="8" width="4.25390625" style="0" customWidth="1"/>
    <col min="9" max="9" width="15.125" style="0" bestFit="1" customWidth="1"/>
    <col min="10" max="10" width="10.25390625" style="0" customWidth="1"/>
    <col min="11" max="11" width="23.625" style="0" bestFit="1" customWidth="1"/>
    <col min="12" max="12" width="12.25390625" style="0" bestFit="1" customWidth="1"/>
    <col min="13" max="13" width="14.375" style="0" bestFit="1" customWidth="1"/>
  </cols>
  <sheetData>
    <row r="1" spans="1:13" ht="13.5" thickBot="1">
      <c r="A1" s="246"/>
      <c r="B1" s="248" t="s">
        <v>166</v>
      </c>
      <c r="C1" s="248" t="s">
        <v>161</v>
      </c>
      <c r="D1" s="248" t="s">
        <v>162</v>
      </c>
      <c r="E1" s="248" t="s">
        <v>163</v>
      </c>
      <c r="F1" s="249" t="s">
        <v>164</v>
      </c>
      <c r="G1" s="304" t="s">
        <v>165</v>
      </c>
      <c r="H1" s="304"/>
      <c r="I1" s="252" t="s">
        <v>111</v>
      </c>
      <c r="J1" s="248" t="s">
        <v>160</v>
      </c>
      <c r="K1" s="248" t="s">
        <v>197</v>
      </c>
      <c r="L1" s="248" t="s">
        <v>196</v>
      </c>
      <c r="M1" s="248" t="s">
        <v>27</v>
      </c>
    </row>
    <row r="2" spans="1:13" ht="12.75">
      <c r="A2" s="250" t="s">
        <v>237</v>
      </c>
      <c r="B2" s="258" t="s">
        <v>23</v>
      </c>
      <c r="C2" s="260">
        <v>15</v>
      </c>
      <c r="D2" s="261">
        <v>13</v>
      </c>
      <c r="E2" s="261">
        <v>1</v>
      </c>
      <c r="F2" s="262">
        <v>1</v>
      </c>
      <c r="G2" s="253">
        <v>86</v>
      </c>
      <c r="H2" s="254">
        <v>34</v>
      </c>
      <c r="I2" s="272">
        <v>52</v>
      </c>
      <c r="J2" s="278">
        <v>27</v>
      </c>
      <c r="K2" s="275">
        <v>18521</v>
      </c>
      <c r="L2" s="271">
        <v>2827.3333333333335</v>
      </c>
      <c r="M2" s="268">
        <v>42410</v>
      </c>
    </row>
    <row r="3" spans="1:13" ht="12.75">
      <c r="A3" s="251" t="s">
        <v>187</v>
      </c>
      <c r="B3" s="259" t="s">
        <v>178</v>
      </c>
      <c r="C3" s="257">
        <v>15</v>
      </c>
      <c r="D3" s="246">
        <v>11</v>
      </c>
      <c r="E3" s="246">
        <v>2</v>
      </c>
      <c r="F3" s="251">
        <v>2</v>
      </c>
      <c r="G3" s="255">
        <v>76</v>
      </c>
      <c r="H3" s="256">
        <v>44</v>
      </c>
      <c r="I3" s="273">
        <v>32</v>
      </c>
      <c r="J3" s="279">
        <v>24</v>
      </c>
      <c r="K3" s="276">
        <v>18122</v>
      </c>
      <c r="L3" s="47">
        <v>2594.4</v>
      </c>
      <c r="M3" s="269">
        <v>38916</v>
      </c>
    </row>
    <row r="4" spans="1:13" ht="12.75">
      <c r="A4" s="251" t="s">
        <v>201</v>
      </c>
      <c r="B4" s="259" t="s">
        <v>20</v>
      </c>
      <c r="C4" s="257">
        <v>15</v>
      </c>
      <c r="D4" s="246">
        <v>10</v>
      </c>
      <c r="E4" s="246">
        <v>1</v>
      </c>
      <c r="F4" s="251">
        <v>4</v>
      </c>
      <c r="G4" s="255">
        <v>72</v>
      </c>
      <c r="H4" s="256">
        <v>48</v>
      </c>
      <c r="I4" s="273">
        <v>24</v>
      </c>
      <c r="J4" s="279">
        <v>21</v>
      </c>
      <c r="K4" s="276">
        <v>16985</v>
      </c>
      <c r="L4" s="47">
        <v>2529.9333333333334</v>
      </c>
      <c r="M4" s="269">
        <v>37949</v>
      </c>
    </row>
    <row r="5" spans="1:13" ht="12.75">
      <c r="A5" s="251" t="s">
        <v>203</v>
      </c>
      <c r="B5" s="259" t="s">
        <v>219</v>
      </c>
      <c r="C5" s="257">
        <v>15</v>
      </c>
      <c r="D5" s="246">
        <v>9</v>
      </c>
      <c r="E5" s="246">
        <v>1</v>
      </c>
      <c r="F5" s="251">
        <v>5</v>
      </c>
      <c r="G5" s="255">
        <v>70</v>
      </c>
      <c r="H5" s="256">
        <v>50</v>
      </c>
      <c r="I5" s="273">
        <v>20</v>
      </c>
      <c r="J5" s="279">
        <v>19</v>
      </c>
      <c r="K5" s="276">
        <v>20712</v>
      </c>
      <c r="L5" s="47">
        <v>2597.6666666666665</v>
      </c>
      <c r="M5" s="269">
        <v>38965</v>
      </c>
    </row>
    <row r="6" spans="1:13" ht="12.75">
      <c r="A6" s="251" t="s">
        <v>206</v>
      </c>
      <c r="B6" s="259" t="s">
        <v>17</v>
      </c>
      <c r="C6" s="257">
        <v>15</v>
      </c>
      <c r="D6" s="246">
        <v>9</v>
      </c>
      <c r="E6" s="246">
        <v>0</v>
      </c>
      <c r="F6" s="251">
        <v>6</v>
      </c>
      <c r="G6" s="255">
        <v>64</v>
      </c>
      <c r="H6" s="256">
        <v>56</v>
      </c>
      <c r="I6" s="273">
        <v>8</v>
      </c>
      <c r="J6" s="279">
        <v>18</v>
      </c>
      <c r="K6" s="276">
        <v>18169</v>
      </c>
      <c r="L6" s="47">
        <v>2595.4</v>
      </c>
      <c r="M6" s="269">
        <v>38931</v>
      </c>
    </row>
    <row r="7" spans="1:13" ht="12.75">
      <c r="A7" s="251" t="s">
        <v>205</v>
      </c>
      <c r="B7" s="259" t="s">
        <v>179</v>
      </c>
      <c r="C7" s="257">
        <v>15</v>
      </c>
      <c r="D7" s="246">
        <v>8</v>
      </c>
      <c r="E7" s="246">
        <v>1</v>
      </c>
      <c r="F7" s="251">
        <v>6</v>
      </c>
      <c r="G7" s="255">
        <v>63</v>
      </c>
      <c r="H7" s="256">
        <v>57</v>
      </c>
      <c r="I7" s="273">
        <v>6</v>
      </c>
      <c r="J7" s="279">
        <v>17</v>
      </c>
      <c r="K7" s="276">
        <v>18066</v>
      </c>
      <c r="L7" s="47">
        <v>2619.6</v>
      </c>
      <c r="M7" s="269">
        <v>39294</v>
      </c>
    </row>
    <row r="8" spans="1:13" ht="12.75">
      <c r="A8" s="251" t="s">
        <v>202</v>
      </c>
      <c r="B8" s="259" t="s">
        <v>15</v>
      </c>
      <c r="C8" s="257">
        <v>15</v>
      </c>
      <c r="D8" s="246">
        <v>8</v>
      </c>
      <c r="E8" s="246">
        <v>1</v>
      </c>
      <c r="F8" s="251">
        <v>6</v>
      </c>
      <c r="G8" s="255">
        <v>63</v>
      </c>
      <c r="H8" s="256">
        <v>57</v>
      </c>
      <c r="I8" s="273">
        <v>6</v>
      </c>
      <c r="J8" s="279">
        <v>17</v>
      </c>
      <c r="K8" s="276">
        <v>22628</v>
      </c>
      <c r="L8" s="47">
        <v>2702.6</v>
      </c>
      <c r="M8" s="269">
        <v>40539</v>
      </c>
    </row>
    <row r="9" spans="1:13" ht="12.75">
      <c r="A9" s="251">
        <v>12</v>
      </c>
      <c r="B9" s="259" t="s">
        <v>180</v>
      </c>
      <c r="C9" s="257">
        <v>15</v>
      </c>
      <c r="D9" s="246">
        <v>8</v>
      </c>
      <c r="E9" s="246">
        <v>0</v>
      </c>
      <c r="F9" s="251">
        <v>7</v>
      </c>
      <c r="G9" s="255">
        <v>58</v>
      </c>
      <c r="H9" s="256">
        <v>62</v>
      </c>
      <c r="I9" s="273">
        <v>-4</v>
      </c>
      <c r="J9" s="279">
        <v>16</v>
      </c>
      <c r="K9" s="276">
        <v>17612</v>
      </c>
      <c r="L9" s="47">
        <v>2448</v>
      </c>
      <c r="M9" s="269">
        <v>36720</v>
      </c>
    </row>
    <row r="10" spans="1:13" ht="12.75">
      <c r="A10" s="251" t="s">
        <v>207</v>
      </c>
      <c r="B10" s="259" t="s">
        <v>177</v>
      </c>
      <c r="C10" s="257">
        <v>15</v>
      </c>
      <c r="D10" s="246">
        <v>6</v>
      </c>
      <c r="E10" s="246">
        <v>3</v>
      </c>
      <c r="F10" s="251">
        <v>6</v>
      </c>
      <c r="G10" s="255">
        <v>61</v>
      </c>
      <c r="H10" s="256">
        <v>59</v>
      </c>
      <c r="I10" s="273">
        <v>2</v>
      </c>
      <c r="J10" s="279">
        <v>15</v>
      </c>
      <c r="K10" s="276">
        <v>20199</v>
      </c>
      <c r="L10" s="47">
        <v>2521.2</v>
      </c>
      <c r="M10" s="269">
        <v>37818</v>
      </c>
    </row>
    <row r="11" spans="1:13" ht="12.75">
      <c r="A11" s="251">
        <v>10</v>
      </c>
      <c r="B11" s="259" t="s">
        <v>218</v>
      </c>
      <c r="C11" s="257">
        <v>15</v>
      </c>
      <c r="D11" s="246">
        <v>6</v>
      </c>
      <c r="E11" s="246">
        <v>1</v>
      </c>
      <c r="F11" s="251">
        <v>8</v>
      </c>
      <c r="G11" s="255">
        <v>56</v>
      </c>
      <c r="H11" s="256">
        <v>64</v>
      </c>
      <c r="I11" s="273">
        <v>-8</v>
      </c>
      <c r="J11" s="279">
        <v>13</v>
      </c>
      <c r="K11" s="276">
        <v>20408</v>
      </c>
      <c r="L11" s="47">
        <v>2532.866666666667</v>
      </c>
      <c r="M11" s="269">
        <v>37993</v>
      </c>
    </row>
    <row r="12" spans="1:13" ht="12.75">
      <c r="A12" s="251" t="s">
        <v>204</v>
      </c>
      <c r="B12" s="259" t="s">
        <v>220</v>
      </c>
      <c r="C12" s="257">
        <v>15</v>
      </c>
      <c r="D12" s="246">
        <v>7</v>
      </c>
      <c r="E12" s="246">
        <v>0</v>
      </c>
      <c r="F12" s="251">
        <v>8</v>
      </c>
      <c r="G12" s="255">
        <v>53</v>
      </c>
      <c r="H12" s="256">
        <v>67</v>
      </c>
      <c r="I12" s="273">
        <v>-14</v>
      </c>
      <c r="J12" s="279">
        <v>14</v>
      </c>
      <c r="K12" s="276">
        <v>20168</v>
      </c>
      <c r="L12" s="47">
        <v>2698.9333333333334</v>
      </c>
      <c r="M12" s="269">
        <v>40484</v>
      </c>
    </row>
    <row r="13" spans="1:13" ht="12.75">
      <c r="A13" s="251">
        <v>11</v>
      </c>
      <c r="B13" s="259" t="s">
        <v>259</v>
      </c>
      <c r="C13" s="257">
        <v>15</v>
      </c>
      <c r="D13" s="246">
        <v>5</v>
      </c>
      <c r="E13" s="246">
        <v>1</v>
      </c>
      <c r="F13" s="251">
        <v>9</v>
      </c>
      <c r="G13" s="255">
        <v>57</v>
      </c>
      <c r="H13" s="256">
        <v>63</v>
      </c>
      <c r="I13" s="273">
        <v>-6</v>
      </c>
      <c r="J13" s="279">
        <v>11</v>
      </c>
      <c r="K13" s="276">
        <v>17659</v>
      </c>
      <c r="L13" s="47">
        <v>2539.866666666667</v>
      </c>
      <c r="M13" s="269">
        <v>38098</v>
      </c>
    </row>
    <row r="14" spans="1:13" ht="12.75">
      <c r="A14" s="251">
        <v>13</v>
      </c>
      <c r="B14" s="259" t="s">
        <v>18</v>
      </c>
      <c r="C14" s="257">
        <v>15</v>
      </c>
      <c r="D14" s="246">
        <v>5</v>
      </c>
      <c r="E14" s="246">
        <v>0</v>
      </c>
      <c r="F14" s="251">
        <v>10</v>
      </c>
      <c r="G14" s="255">
        <v>50</v>
      </c>
      <c r="H14" s="256">
        <v>70</v>
      </c>
      <c r="I14" s="273">
        <v>-20</v>
      </c>
      <c r="J14" s="279">
        <v>10</v>
      </c>
      <c r="K14" s="276">
        <v>17430</v>
      </c>
      <c r="L14" s="47">
        <v>2512.6</v>
      </c>
      <c r="M14" s="269">
        <v>37689</v>
      </c>
    </row>
    <row r="15" spans="1:13" ht="12.75">
      <c r="A15" s="251">
        <v>14</v>
      </c>
      <c r="B15" s="259" t="s">
        <v>19</v>
      </c>
      <c r="C15" s="257">
        <v>15</v>
      </c>
      <c r="D15" s="246">
        <v>4</v>
      </c>
      <c r="E15" s="246">
        <v>1</v>
      </c>
      <c r="F15" s="251">
        <v>10</v>
      </c>
      <c r="G15" s="255">
        <v>46</v>
      </c>
      <c r="H15" s="256">
        <v>74</v>
      </c>
      <c r="I15" s="273">
        <v>-28</v>
      </c>
      <c r="J15" s="279">
        <v>9</v>
      </c>
      <c r="K15" s="276">
        <v>19649</v>
      </c>
      <c r="L15" s="47">
        <v>2481.6666666666665</v>
      </c>
      <c r="M15" s="269">
        <v>37225</v>
      </c>
    </row>
    <row r="16" spans="1:13" ht="12.75">
      <c r="A16" s="251" t="s">
        <v>208</v>
      </c>
      <c r="B16" s="259" t="s">
        <v>258</v>
      </c>
      <c r="C16" s="257">
        <v>15</v>
      </c>
      <c r="D16" s="246">
        <v>4</v>
      </c>
      <c r="E16" s="246">
        <v>0</v>
      </c>
      <c r="F16" s="251">
        <v>11</v>
      </c>
      <c r="G16" s="255">
        <v>51</v>
      </c>
      <c r="H16" s="256">
        <v>69</v>
      </c>
      <c r="I16" s="273">
        <v>-18</v>
      </c>
      <c r="J16" s="279">
        <v>8</v>
      </c>
      <c r="K16" s="276">
        <v>22410</v>
      </c>
      <c r="L16" s="47">
        <v>2665.266666666667</v>
      </c>
      <c r="M16" s="269">
        <v>39979</v>
      </c>
    </row>
    <row r="17" spans="1:13" ht="13.5" thickBot="1">
      <c r="A17" s="251" t="s">
        <v>209</v>
      </c>
      <c r="B17" s="263" t="s">
        <v>257</v>
      </c>
      <c r="C17" s="264">
        <v>15</v>
      </c>
      <c r="D17" s="247">
        <v>0</v>
      </c>
      <c r="E17" s="247">
        <v>1</v>
      </c>
      <c r="F17" s="265">
        <v>14</v>
      </c>
      <c r="G17" s="266">
        <v>34</v>
      </c>
      <c r="H17" s="267">
        <v>86</v>
      </c>
      <c r="I17" s="274">
        <v>-52</v>
      </c>
      <c r="J17" s="280">
        <v>1</v>
      </c>
      <c r="K17" s="277">
        <v>19418</v>
      </c>
      <c r="L17" s="190">
        <v>2422.4666666666667</v>
      </c>
      <c r="M17" s="270">
        <v>36337</v>
      </c>
    </row>
    <row r="18" ht="12.75">
      <c r="L18" s="245"/>
    </row>
  </sheetData>
  <sheetProtection/>
  <mergeCells count="1"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9"/>
  <sheetViews>
    <sheetView zoomScale="90" zoomScaleNormal="90" zoomScalePageLayoutView="0" workbookViewId="0" topLeftCell="A26">
      <selection activeCell="K43" sqref="K43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0.375" style="1" customWidth="1"/>
    <col min="4" max="4" width="10.75390625" style="1" customWidth="1"/>
    <col min="5" max="5" width="11.375" style="1" customWidth="1"/>
    <col min="6" max="6" width="10.25390625" style="1" customWidth="1"/>
    <col min="7" max="7" width="11.375" style="1" customWidth="1"/>
    <col min="8" max="8" width="10.25390625" style="1" customWidth="1"/>
    <col min="9" max="11" width="11.25390625" style="1" customWidth="1"/>
    <col min="12" max="12" width="10.25390625" style="1" customWidth="1"/>
    <col min="13" max="13" width="11.125" style="1" customWidth="1"/>
    <col min="14" max="14" width="17.75390625" style="1" bestFit="1" customWidth="1"/>
    <col min="15" max="15" width="11.125" style="1" bestFit="1" customWidth="1"/>
    <col min="16" max="16" width="12.125" style="1" customWidth="1"/>
    <col min="17" max="17" width="14.375" style="1" customWidth="1"/>
    <col min="18" max="18" width="12.00390625" style="1" customWidth="1"/>
    <col min="19" max="19" width="13.375" style="1" customWidth="1"/>
    <col min="20" max="20" width="11.875" style="1" customWidth="1"/>
    <col min="21" max="21" width="13.00390625" style="0" customWidth="1"/>
    <col min="22" max="22" width="11.75390625" style="0" customWidth="1"/>
    <col min="23" max="23" width="10.375" style="0" customWidth="1"/>
  </cols>
  <sheetData>
    <row r="1" spans="1:15" ht="15.75">
      <c r="A1" s="27" t="s">
        <v>125</v>
      </c>
      <c r="B1" s="28"/>
      <c r="C1" s="28" t="s">
        <v>128</v>
      </c>
      <c r="D1" s="28" t="s">
        <v>123</v>
      </c>
      <c r="E1" s="306" t="s">
        <v>124</v>
      </c>
      <c r="F1" s="306"/>
      <c r="G1" s="307" t="s">
        <v>134</v>
      </c>
      <c r="H1" s="307"/>
      <c r="I1" s="1" t="s">
        <v>135</v>
      </c>
      <c r="L1" s="305" t="s">
        <v>111</v>
      </c>
      <c r="M1" s="305"/>
      <c r="N1" s="1" t="s">
        <v>113</v>
      </c>
      <c r="O1" s="18">
        <f>N24/T24</f>
        <v>2595.4</v>
      </c>
    </row>
    <row r="2" spans="7:15" ht="15.75">
      <c r="G2" s="1">
        <f>O24+O44</f>
        <v>125</v>
      </c>
      <c r="H2" s="1">
        <f>P24+P44</f>
        <v>115</v>
      </c>
      <c r="I2" s="1">
        <f>R24+R44</f>
        <v>34</v>
      </c>
      <c r="L2" s="307">
        <f>G2-H2</f>
        <v>10</v>
      </c>
      <c r="M2" s="307"/>
      <c r="N2" s="1" t="s">
        <v>198</v>
      </c>
      <c r="O2" s="6">
        <f>N7+N9+N11+N13+N15+N18+N20+N30+N32+N34+N36+N38+N40+N41+N43</f>
        <v>38482</v>
      </c>
    </row>
    <row r="4" spans="3:23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Q4" s="308" t="s">
        <v>25</v>
      </c>
      <c r="R4" s="308"/>
      <c r="U4" s="2"/>
      <c r="V4" s="2"/>
      <c r="W4" s="2"/>
    </row>
    <row r="5" spans="2:21" ht="32.25" thickBot="1">
      <c r="B5" s="3" t="s">
        <v>22</v>
      </c>
      <c r="C5" s="8" t="s">
        <v>150</v>
      </c>
      <c r="D5" s="8" t="s">
        <v>277</v>
      </c>
      <c r="E5" s="8" t="s">
        <v>44</v>
      </c>
      <c r="F5" s="8" t="s">
        <v>252</v>
      </c>
      <c r="G5" s="8" t="s">
        <v>151</v>
      </c>
      <c r="H5" s="8" t="s">
        <v>152</v>
      </c>
      <c r="I5" s="8" t="s">
        <v>167</v>
      </c>
      <c r="J5" s="8" t="s">
        <v>279</v>
      </c>
      <c r="K5" s="8" t="s">
        <v>68</v>
      </c>
      <c r="L5" s="82" t="s">
        <v>215</v>
      </c>
      <c r="M5" s="8" t="s">
        <v>222</v>
      </c>
      <c r="N5" s="3" t="s">
        <v>27</v>
      </c>
      <c r="O5" s="3" t="s">
        <v>17</v>
      </c>
      <c r="P5" s="3" t="s">
        <v>26</v>
      </c>
      <c r="Q5" s="3" t="s">
        <v>28</v>
      </c>
      <c r="R5" s="10" t="s">
        <v>101</v>
      </c>
      <c r="S5" s="2" t="s">
        <v>162</v>
      </c>
      <c r="T5" s="2" t="s">
        <v>163</v>
      </c>
      <c r="U5" s="2" t="s">
        <v>164</v>
      </c>
    </row>
    <row r="6" spans="1:21" s="97" customFormat="1" ht="15.75">
      <c r="A6" s="95" t="s">
        <v>0</v>
      </c>
      <c r="B6" s="100" t="s">
        <v>220</v>
      </c>
      <c r="C6" s="179">
        <v>235</v>
      </c>
      <c r="D6" s="96">
        <v>409</v>
      </c>
      <c r="E6" s="96">
        <v>404</v>
      </c>
      <c r="F6" s="96"/>
      <c r="G6" s="179">
        <v>218</v>
      </c>
      <c r="H6" s="96">
        <v>402</v>
      </c>
      <c r="I6" s="96"/>
      <c r="J6" s="179">
        <v>191</v>
      </c>
      <c r="K6" s="179">
        <v>201</v>
      </c>
      <c r="L6" s="180">
        <v>468</v>
      </c>
      <c r="M6" s="102"/>
      <c r="N6" s="139">
        <f aca="true" t="shared" si="0" ref="N6:N13">SUM(C6:M6)</f>
        <v>2528</v>
      </c>
      <c r="O6" s="95">
        <v>3</v>
      </c>
      <c r="P6" s="95">
        <v>5</v>
      </c>
      <c r="Q6" s="103">
        <v>-3</v>
      </c>
      <c r="R6" s="95">
        <v>0</v>
      </c>
      <c r="S6" s="157"/>
      <c r="T6" s="157"/>
      <c r="U6" s="157">
        <v>1</v>
      </c>
    </row>
    <row r="7" spans="1:21" s="115" customFormat="1" ht="15.75">
      <c r="A7" s="113" t="s">
        <v>1</v>
      </c>
      <c r="B7" s="114" t="s">
        <v>19</v>
      </c>
      <c r="C7" s="177">
        <v>458</v>
      </c>
      <c r="D7" s="114"/>
      <c r="E7" s="177">
        <v>440</v>
      </c>
      <c r="F7" s="114"/>
      <c r="G7" s="114">
        <v>192</v>
      </c>
      <c r="H7" s="177">
        <v>462</v>
      </c>
      <c r="I7" s="114"/>
      <c r="J7" s="114">
        <v>378</v>
      </c>
      <c r="K7" s="114">
        <v>214</v>
      </c>
      <c r="L7" s="181">
        <v>472</v>
      </c>
      <c r="M7" s="117"/>
      <c r="N7" s="153">
        <f t="shared" si="0"/>
        <v>2616</v>
      </c>
      <c r="O7" s="113">
        <v>6</v>
      </c>
      <c r="P7" s="113">
        <v>2</v>
      </c>
      <c r="Q7" s="118">
        <v>111</v>
      </c>
      <c r="R7" s="113">
        <v>2</v>
      </c>
      <c r="S7" s="131">
        <v>1</v>
      </c>
      <c r="T7" s="131"/>
      <c r="U7" s="131"/>
    </row>
    <row r="8" spans="1:21" s="100" customFormat="1" ht="15.75">
      <c r="A8" s="100" t="s">
        <v>2</v>
      </c>
      <c r="B8" s="96" t="s">
        <v>257</v>
      </c>
      <c r="C8" s="96"/>
      <c r="D8" s="179">
        <v>439</v>
      </c>
      <c r="E8" s="179">
        <v>432</v>
      </c>
      <c r="F8" s="96"/>
      <c r="G8" s="96">
        <v>408</v>
      </c>
      <c r="H8" s="96">
        <v>209</v>
      </c>
      <c r="I8" s="96"/>
      <c r="J8" s="96">
        <v>219</v>
      </c>
      <c r="K8" s="179">
        <v>465</v>
      </c>
      <c r="L8" s="174">
        <v>438</v>
      </c>
      <c r="M8" s="102"/>
      <c r="N8" s="141">
        <f t="shared" si="0"/>
        <v>2610</v>
      </c>
      <c r="O8" s="100">
        <v>6</v>
      </c>
      <c r="P8" s="100">
        <v>2</v>
      </c>
      <c r="Q8" s="99">
        <v>141</v>
      </c>
      <c r="R8" s="100">
        <v>2</v>
      </c>
      <c r="S8" s="158">
        <v>1</v>
      </c>
      <c r="T8" s="158"/>
      <c r="U8" s="158"/>
    </row>
    <row r="9" spans="1:21" s="120" customFormat="1" ht="15.75">
      <c r="A9" s="120" t="s">
        <v>3</v>
      </c>
      <c r="B9" s="114" t="s">
        <v>258</v>
      </c>
      <c r="C9" s="114">
        <v>431</v>
      </c>
      <c r="D9" s="177">
        <v>441</v>
      </c>
      <c r="E9" s="177">
        <v>473</v>
      </c>
      <c r="F9" s="116"/>
      <c r="G9" s="116"/>
      <c r="H9" s="181">
        <v>463</v>
      </c>
      <c r="I9" s="116"/>
      <c r="J9" s="116"/>
      <c r="K9" s="116">
        <v>402</v>
      </c>
      <c r="L9" s="181">
        <v>482</v>
      </c>
      <c r="M9" s="117"/>
      <c r="N9" s="146">
        <f t="shared" si="0"/>
        <v>2692</v>
      </c>
      <c r="O9" s="120">
        <v>6</v>
      </c>
      <c r="P9" s="120">
        <v>2</v>
      </c>
      <c r="Q9" s="132">
        <v>195</v>
      </c>
      <c r="R9" s="120">
        <v>2</v>
      </c>
      <c r="S9" s="133">
        <v>1</v>
      </c>
      <c r="T9" s="133"/>
      <c r="U9" s="133"/>
    </row>
    <row r="10" spans="1:21" s="100" customFormat="1" ht="15.75">
      <c r="A10" s="100" t="s">
        <v>4</v>
      </c>
      <c r="B10" s="101" t="s">
        <v>218</v>
      </c>
      <c r="C10" s="179">
        <v>445</v>
      </c>
      <c r="D10" s="179">
        <v>466</v>
      </c>
      <c r="E10" s="96"/>
      <c r="F10" s="96"/>
      <c r="G10" s="96">
        <v>374</v>
      </c>
      <c r="H10" s="96">
        <v>428</v>
      </c>
      <c r="I10" s="96"/>
      <c r="J10" s="96"/>
      <c r="K10" s="179">
        <v>450</v>
      </c>
      <c r="L10" s="174">
        <v>483</v>
      </c>
      <c r="M10" s="102"/>
      <c r="N10" s="141">
        <f t="shared" si="0"/>
        <v>2646</v>
      </c>
      <c r="O10" s="100">
        <v>6</v>
      </c>
      <c r="P10" s="100">
        <v>2</v>
      </c>
      <c r="Q10" s="99">
        <v>85</v>
      </c>
      <c r="R10" s="100">
        <v>2</v>
      </c>
      <c r="S10" s="158">
        <v>1</v>
      </c>
      <c r="T10" s="158"/>
      <c r="U10" s="158"/>
    </row>
    <row r="11" spans="1:19" s="120" customFormat="1" ht="15.75">
      <c r="A11" s="120" t="s">
        <v>5</v>
      </c>
      <c r="B11" s="120" t="s">
        <v>15</v>
      </c>
      <c r="C11" s="177">
        <v>448</v>
      </c>
      <c r="D11" s="114"/>
      <c r="E11" s="177">
        <v>437</v>
      </c>
      <c r="F11" s="114"/>
      <c r="G11" s="114"/>
      <c r="H11" s="114">
        <v>410</v>
      </c>
      <c r="I11" s="114"/>
      <c r="J11" s="114">
        <v>433</v>
      </c>
      <c r="K11" s="114">
        <v>423</v>
      </c>
      <c r="L11" s="177">
        <v>449</v>
      </c>
      <c r="M11" s="114"/>
      <c r="N11" s="154">
        <f t="shared" si="0"/>
        <v>2600</v>
      </c>
      <c r="O11" s="120">
        <v>5</v>
      </c>
      <c r="P11" s="120">
        <v>3</v>
      </c>
      <c r="Q11" s="132">
        <v>38</v>
      </c>
      <c r="R11" s="120">
        <v>2</v>
      </c>
      <c r="S11" s="120">
        <v>1</v>
      </c>
    </row>
    <row r="12" spans="1:21" s="100" customFormat="1" ht="15.75">
      <c r="A12" s="100" t="s">
        <v>6</v>
      </c>
      <c r="B12" s="96" t="s">
        <v>177</v>
      </c>
      <c r="C12" s="179">
        <v>474</v>
      </c>
      <c r="D12" s="96">
        <v>409</v>
      </c>
      <c r="E12" s="96">
        <v>405</v>
      </c>
      <c r="F12" s="96"/>
      <c r="G12" s="96">
        <v>410</v>
      </c>
      <c r="H12" s="96"/>
      <c r="I12" s="96"/>
      <c r="J12" s="96">
        <v>444</v>
      </c>
      <c r="K12" s="179">
        <v>457</v>
      </c>
      <c r="L12" s="101"/>
      <c r="M12" s="102"/>
      <c r="N12" s="141">
        <f t="shared" si="0"/>
        <v>2599</v>
      </c>
      <c r="O12" s="100">
        <v>2</v>
      </c>
      <c r="P12" s="100">
        <v>6</v>
      </c>
      <c r="Q12" s="99">
        <v>-84</v>
      </c>
      <c r="R12" s="100">
        <v>0</v>
      </c>
      <c r="S12" s="158"/>
      <c r="T12" s="158"/>
      <c r="U12" s="158">
        <v>1</v>
      </c>
    </row>
    <row r="13" spans="1:22" s="120" customFormat="1" ht="15.75">
      <c r="A13" s="120" t="s">
        <v>7</v>
      </c>
      <c r="B13" s="114" t="s">
        <v>179</v>
      </c>
      <c r="C13" s="116">
        <v>429</v>
      </c>
      <c r="D13" s="181">
        <v>451</v>
      </c>
      <c r="E13" s="116"/>
      <c r="F13" s="116"/>
      <c r="G13" s="116"/>
      <c r="H13" s="116">
        <v>434</v>
      </c>
      <c r="I13" s="116"/>
      <c r="J13" s="116">
        <v>397</v>
      </c>
      <c r="K13" s="116">
        <v>419</v>
      </c>
      <c r="L13" s="181">
        <v>479</v>
      </c>
      <c r="M13" s="117"/>
      <c r="N13" s="154">
        <f t="shared" si="0"/>
        <v>2609</v>
      </c>
      <c r="O13" s="135">
        <v>2</v>
      </c>
      <c r="P13" s="135">
        <v>6</v>
      </c>
      <c r="Q13" s="135">
        <v>-100</v>
      </c>
      <c r="R13" s="135">
        <v>0</v>
      </c>
      <c r="S13" s="136"/>
      <c r="T13" s="136"/>
      <c r="U13" s="136">
        <v>1</v>
      </c>
      <c r="V13" s="135"/>
    </row>
    <row r="14" spans="1:21" s="100" customFormat="1" ht="15.75">
      <c r="A14" s="100" t="s">
        <v>8</v>
      </c>
      <c r="B14" s="96" t="s">
        <v>20</v>
      </c>
      <c r="C14" s="96"/>
      <c r="D14" s="96"/>
      <c r="E14" s="96">
        <v>406</v>
      </c>
      <c r="F14" s="96"/>
      <c r="G14" s="96">
        <v>402</v>
      </c>
      <c r="H14" s="96">
        <v>429</v>
      </c>
      <c r="I14" s="96">
        <v>193</v>
      </c>
      <c r="J14" s="96">
        <v>222</v>
      </c>
      <c r="K14" s="179">
        <v>432</v>
      </c>
      <c r="L14" s="174">
        <v>476</v>
      </c>
      <c r="M14" s="102"/>
      <c r="N14" s="141">
        <f aca="true" t="shared" si="1" ref="N14:N20">SUM(C14:M14)</f>
        <v>2560</v>
      </c>
      <c r="O14" s="100">
        <v>2</v>
      </c>
      <c r="P14" s="100">
        <v>6</v>
      </c>
      <c r="Q14" s="99">
        <v>-22</v>
      </c>
      <c r="R14" s="100">
        <v>0</v>
      </c>
      <c r="S14" s="158"/>
      <c r="T14" s="158"/>
      <c r="U14" s="158">
        <v>1</v>
      </c>
    </row>
    <row r="15" spans="1:21" s="120" customFormat="1" ht="15.75">
      <c r="A15" s="120" t="s">
        <v>9</v>
      </c>
      <c r="B15" s="114" t="s">
        <v>259</v>
      </c>
      <c r="C15" s="177">
        <v>465</v>
      </c>
      <c r="D15" s="114">
        <v>411</v>
      </c>
      <c r="E15" s="114"/>
      <c r="F15" s="114"/>
      <c r="G15" s="114"/>
      <c r="H15" s="177">
        <v>452</v>
      </c>
      <c r="I15" s="114"/>
      <c r="J15" s="114">
        <v>393</v>
      </c>
      <c r="K15" s="114">
        <v>415</v>
      </c>
      <c r="L15" s="181">
        <v>467</v>
      </c>
      <c r="M15" s="117"/>
      <c r="N15" s="146">
        <f t="shared" si="1"/>
        <v>2603</v>
      </c>
      <c r="O15" s="120">
        <v>5</v>
      </c>
      <c r="P15" s="120">
        <v>3</v>
      </c>
      <c r="Q15" s="120">
        <v>74</v>
      </c>
      <c r="R15" s="120">
        <v>2</v>
      </c>
      <c r="S15" s="133">
        <v>1</v>
      </c>
      <c r="T15" s="133"/>
      <c r="U15" s="133"/>
    </row>
    <row r="16" spans="1:21" s="100" customFormat="1" ht="15.75">
      <c r="A16" s="100" t="s">
        <v>10</v>
      </c>
      <c r="B16" s="96" t="s">
        <v>178</v>
      </c>
      <c r="C16" s="232">
        <v>444</v>
      </c>
      <c r="D16" s="96"/>
      <c r="E16" s="96">
        <v>412</v>
      </c>
      <c r="F16" s="96"/>
      <c r="G16" s="96"/>
      <c r="H16" s="96">
        <v>418</v>
      </c>
      <c r="I16" s="96">
        <v>185</v>
      </c>
      <c r="J16" s="96">
        <v>195</v>
      </c>
      <c r="K16" s="96">
        <v>404</v>
      </c>
      <c r="L16" s="230">
        <v>505</v>
      </c>
      <c r="M16" s="102"/>
      <c r="N16" s="141">
        <f t="shared" si="1"/>
        <v>2563</v>
      </c>
      <c r="O16" s="100">
        <v>2</v>
      </c>
      <c r="P16" s="100">
        <v>6</v>
      </c>
      <c r="Q16" s="100">
        <v>-39</v>
      </c>
      <c r="R16" s="100">
        <v>0</v>
      </c>
      <c r="S16" s="158"/>
      <c r="T16" s="158"/>
      <c r="U16" s="158">
        <v>1</v>
      </c>
    </row>
    <row r="17" spans="1:21" s="100" customFormat="1" ht="15.75">
      <c r="A17" s="100" t="s">
        <v>11</v>
      </c>
      <c r="B17" s="100" t="s">
        <v>18</v>
      </c>
      <c r="C17" s="232">
        <v>429</v>
      </c>
      <c r="D17" s="232">
        <v>435</v>
      </c>
      <c r="E17" s="96">
        <v>422</v>
      </c>
      <c r="F17" s="96"/>
      <c r="G17" s="232">
        <v>442</v>
      </c>
      <c r="H17" s="96"/>
      <c r="I17" s="96"/>
      <c r="J17" s="96"/>
      <c r="K17" s="96">
        <v>403</v>
      </c>
      <c r="L17" s="230">
        <v>460</v>
      </c>
      <c r="M17" s="102"/>
      <c r="N17" s="141">
        <f t="shared" si="1"/>
        <v>2591</v>
      </c>
      <c r="O17" s="100">
        <v>6</v>
      </c>
      <c r="P17" s="100">
        <v>2</v>
      </c>
      <c r="Q17" s="99">
        <v>139</v>
      </c>
      <c r="R17" s="100">
        <v>2</v>
      </c>
      <c r="S17" s="158">
        <v>1</v>
      </c>
      <c r="T17" s="158"/>
      <c r="U17" s="158"/>
    </row>
    <row r="18" spans="1:21" s="120" customFormat="1" ht="15.75">
      <c r="A18" s="120" t="s">
        <v>12</v>
      </c>
      <c r="B18" s="114" t="s">
        <v>180</v>
      </c>
      <c r="C18" s="224">
        <v>412</v>
      </c>
      <c r="D18" s="114"/>
      <c r="E18" s="224">
        <v>431</v>
      </c>
      <c r="F18" s="114"/>
      <c r="G18" s="114">
        <v>396</v>
      </c>
      <c r="H18" s="224">
        <v>418</v>
      </c>
      <c r="I18" s="114"/>
      <c r="J18" s="114"/>
      <c r="K18" s="114">
        <v>404</v>
      </c>
      <c r="L18" s="116">
        <v>383</v>
      </c>
      <c r="M18" s="117"/>
      <c r="N18" s="146">
        <f t="shared" si="1"/>
        <v>2444</v>
      </c>
      <c r="O18" s="120">
        <v>3</v>
      </c>
      <c r="P18" s="120">
        <v>5</v>
      </c>
      <c r="Q18" s="132">
        <v>-11</v>
      </c>
      <c r="R18" s="120">
        <v>0</v>
      </c>
      <c r="S18" s="133"/>
      <c r="T18" s="133"/>
      <c r="U18" s="133">
        <v>1</v>
      </c>
    </row>
    <row r="19" spans="1:21" s="100" customFormat="1" ht="15.75">
      <c r="A19" s="100" t="s">
        <v>13</v>
      </c>
      <c r="B19" s="100" t="s">
        <v>23</v>
      </c>
      <c r="C19" s="232">
        <v>436</v>
      </c>
      <c r="D19" s="232">
        <v>474</v>
      </c>
      <c r="E19" s="96">
        <v>426</v>
      </c>
      <c r="F19" s="96"/>
      <c r="G19" s="96">
        <v>429</v>
      </c>
      <c r="H19" s="96">
        <v>431</v>
      </c>
      <c r="I19" s="96"/>
      <c r="J19" s="96"/>
      <c r="K19" s="96"/>
      <c r="L19" s="230">
        <v>469</v>
      </c>
      <c r="M19" s="102"/>
      <c r="N19" s="141">
        <f t="shared" si="1"/>
        <v>2665</v>
      </c>
      <c r="O19" s="100">
        <v>5</v>
      </c>
      <c r="P19" s="100">
        <v>3</v>
      </c>
      <c r="Q19" s="99">
        <v>25</v>
      </c>
      <c r="R19" s="100">
        <v>2</v>
      </c>
      <c r="S19" s="158">
        <v>1</v>
      </c>
      <c r="T19" s="158"/>
      <c r="U19" s="158"/>
    </row>
    <row r="20" spans="1:21" s="120" customFormat="1" ht="16.5" thickBot="1">
      <c r="A20" s="120" t="s">
        <v>14</v>
      </c>
      <c r="B20" s="114" t="s">
        <v>219</v>
      </c>
      <c r="C20" s="125">
        <v>413</v>
      </c>
      <c r="D20" s="235">
        <v>456</v>
      </c>
      <c r="E20" s="125">
        <v>418</v>
      </c>
      <c r="F20" s="125"/>
      <c r="G20" s="235">
        <v>194</v>
      </c>
      <c r="H20" s="125"/>
      <c r="I20" s="125"/>
      <c r="J20" s="125">
        <v>423</v>
      </c>
      <c r="K20" s="235">
        <v>247</v>
      </c>
      <c r="L20" s="235">
        <v>454</v>
      </c>
      <c r="M20" s="126"/>
      <c r="N20" s="155">
        <f t="shared" si="1"/>
        <v>2605</v>
      </c>
      <c r="O20" s="152">
        <v>5</v>
      </c>
      <c r="P20" s="152">
        <v>3</v>
      </c>
      <c r="Q20" s="151">
        <v>20</v>
      </c>
      <c r="R20" s="152">
        <v>2</v>
      </c>
      <c r="S20" s="156">
        <v>1</v>
      </c>
      <c r="T20" s="156"/>
      <c r="U20" s="156"/>
    </row>
    <row r="21" spans="3:21" ht="16.5" thickTop="1">
      <c r="C21" s="6">
        <f>SUM(C7:C20)</f>
        <v>5284</v>
      </c>
      <c r="D21" s="6">
        <f aca="true" t="shared" si="2" ref="D21:M21">SUM(D6:D20)</f>
        <v>4391</v>
      </c>
      <c r="E21" s="6">
        <f t="shared" si="2"/>
        <v>5106</v>
      </c>
      <c r="F21" s="6">
        <f t="shared" si="2"/>
        <v>0</v>
      </c>
      <c r="G21" s="6">
        <f>SUM(G8:G19)</f>
        <v>2861</v>
      </c>
      <c r="H21" s="6">
        <f>SUM(H6:H7)+SUM(H9:H20)</f>
        <v>4747</v>
      </c>
      <c r="I21" s="6">
        <f>SUM(I17:I20)</f>
        <v>0</v>
      </c>
      <c r="J21" s="6">
        <f>SUM(J7)+SUM(J9:J13)+SUM(J15)+SUM(J17:J20)</f>
        <v>2468</v>
      </c>
      <c r="K21" s="6">
        <f>SUM(K8:K19)</f>
        <v>4674</v>
      </c>
      <c r="L21" s="6">
        <f t="shared" si="2"/>
        <v>6485</v>
      </c>
      <c r="M21" s="6">
        <f t="shared" si="2"/>
        <v>0</v>
      </c>
      <c r="S21" s="43">
        <f>SUM(S6:S20)</f>
        <v>9</v>
      </c>
      <c r="T21" s="43">
        <f>SUM(T6:T20)</f>
        <v>0</v>
      </c>
      <c r="U21" s="43">
        <f>SUM(U6:U20)</f>
        <v>6</v>
      </c>
    </row>
    <row r="22" spans="2:20" ht="15.75">
      <c r="B22" s="1" t="s">
        <v>194</v>
      </c>
      <c r="C22" s="6">
        <f>COUNT(C7:C20)</f>
        <v>12</v>
      </c>
      <c r="D22" s="6">
        <f aca="true" t="shared" si="3" ref="D22:M22">COUNT(D6:D20)</f>
        <v>10</v>
      </c>
      <c r="E22" s="6">
        <f t="shared" si="3"/>
        <v>12</v>
      </c>
      <c r="F22" s="6">
        <f t="shared" si="3"/>
        <v>0</v>
      </c>
      <c r="G22" s="6">
        <f>COUNT(G8:G19)</f>
        <v>7</v>
      </c>
      <c r="H22" s="6">
        <f>COUNT(H6:H7)+COUNT(H9:H20)</f>
        <v>11</v>
      </c>
      <c r="I22" s="6">
        <f>COUNT(I17:I20)</f>
        <v>0</v>
      </c>
      <c r="J22" s="6">
        <f>COUNT(J7)+COUNT(J9:J13)+COUNT(J15)+COUNT(J17:J20)</f>
        <v>6</v>
      </c>
      <c r="K22" s="6">
        <f>COUNT(K8:K19)</f>
        <v>11</v>
      </c>
      <c r="L22" s="6">
        <f t="shared" si="3"/>
        <v>14</v>
      </c>
      <c r="M22" s="6">
        <f t="shared" si="3"/>
        <v>0</v>
      </c>
      <c r="S22"/>
      <c r="T22"/>
    </row>
    <row r="23" spans="2:20" ht="31.5">
      <c r="B23" s="11" t="s">
        <v>112</v>
      </c>
      <c r="C23" s="16">
        <f>AVERAGE(C7:C20)</f>
        <v>440.3333333333333</v>
      </c>
      <c r="D23" s="16">
        <f>D21/D22</f>
        <v>439.1</v>
      </c>
      <c r="E23" s="16">
        <f>E21/E22</f>
        <v>425.5</v>
      </c>
      <c r="F23" s="16"/>
      <c r="G23" s="16">
        <f>AVERAGE(G8:G19)</f>
        <v>408.7142857142857</v>
      </c>
      <c r="H23" s="16">
        <f>H21/H22</f>
        <v>431.54545454545456</v>
      </c>
      <c r="I23" s="16"/>
      <c r="J23" s="16">
        <f>J21/J22</f>
        <v>411.3333333333333</v>
      </c>
      <c r="K23" s="16">
        <f>AVERAGE(K8:K19)</f>
        <v>424.90909090909093</v>
      </c>
      <c r="L23" s="16">
        <f>AVERAGE(L6:L20)</f>
        <v>463.2142857142857</v>
      </c>
      <c r="M23" s="16"/>
      <c r="N23" s="3" t="s">
        <v>27</v>
      </c>
      <c r="O23" s="308" t="s">
        <v>102</v>
      </c>
      <c r="P23" s="308"/>
      <c r="Q23" s="3" t="s">
        <v>28</v>
      </c>
      <c r="R23" s="10" t="s">
        <v>103</v>
      </c>
      <c r="S23" s="40" t="s">
        <v>111</v>
      </c>
      <c r="T23" s="40" t="s">
        <v>192</v>
      </c>
    </row>
    <row r="24" spans="14:20" ht="15.75">
      <c r="N24" s="6">
        <f>SUM(N6:N20)</f>
        <v>38931</v>
      </c>
      <c r="O24" s="1">
        <f>SUM(O6:O20)</f>
        <v>64</v>
      </c>
      <c r="P24" s="1">
        <f>SUM(P6:P20)</f>
        <v>56</v>
      </c>
      <c r="Q24" s="1">
        <f>SUM(Q6:Q20)</f>
        <v>569</v>
      </c>
      <c r="R24" s="1">
        <f>SUM(R6:R20)</f>
        <v>18</v>
      </c>
      <c r="S24" s="42">
        <f>O24-P24</f>
        <v>8</v>
      </c>
      <c r="T24" s="26">
        <f>SUM(S21:U21)</f>
        <v>15</v>
      </c>
    </row>
    <row r="25" spans="3:12" ht="15.75">
      <c r="C25" s="309" t="s">
        <v>33</v>
      </c>
      <c r="D25" s="309"/>
      <c r="F25" s="311" t="s">
        <v>117</v>
      </c>
      <c r="G25" s="311"/>
      <c r="I25" s="310" t="s">
        <v>118</v>
      </c>
      <c r="J25" s="310"/>
      <c r="K25" s="310"/>
      <c r="L25" s="310"/>
    </row>
    <row r="26" spans="1:21" ht="16.5" thickBo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62"/>
    </row>
    <row r="28" spans="2:21" ht="32.25" thickBot="1">
      <c r="B28" s="3" t="s">
        <v>22</v>
      </c>
      <c r="C28" s="8" t="s">
        <v>150</v>
      </c>
      <c r="D28" s="8" t="s">
        <v>277</v>
      </c>
      <c r="E28" s="8" t="s">
        <v>44</v>
      </c>
      <c r="F28" s="8" t="s">
        <v>252</v>
      </c>
      <c r="G28" s="8" t="s">
        <v>151</v>
      </c>
      <c r="H28" s="8" t="s">
        <v>152</v>
      </c>
      <c r="I28" s="8" t="s">
        <v>167</v>
      </c>
      <c r="J28" s="8" t="s">
        <v>279</v>
      </c>
      <c r="K28" s="8" t="s">
        <v>68</v>
      </c>
      <c r="L28" s="82" t="s">
        <v>215</v>
      </c>
      <c r="M28" s="8" t="s">
        <v>296</v>
      </c>
      <c r="N28" s="3" t="s">
        <v>27</v>
      </c>
      <c r="O28" s="3" t="s">
        <v>17</v>
      </c>
      <c r="P28" s="3" t="s">
        <v>26</v>
      </c>
      <c r="Q28" s="3" t="s">
        <v>28</v>
      </c>
      <c r="R28" s="10" t="s">
        <v>101</v>
      </c>
      <c r="S28" s="2" t="s">
        <v>162</v>
      </c>
      <c r="T28" s="2" t="s">
        <v>163</v>
      </c>
      <c r="U28" s="2" t="s">
        <v>164</v>
      </c>
    </row>
    <row r="29" spans="1:19" s="227" customFormat="1" ht="15.75">
      <c r="A29" s="227" t="s">
        <v>286</v>
      </c>
      <c r="B29" s="225" t="s">
        <v>179</v>
      </c>
      <c r="D29" s="232">
        <v>445</v>
      </c>
      <c r="E29" s="232">
        <v>433</v>
      </c>
      <c r="F29" s="225"/>
      <c r="G29" s="225">
        <v>416</v>
      </c>
      <c r="H29" s="225"/>
      <c r="I29" s="225">
        <v>432</v>
      </c>
      <c r="J29" s="225"/>
      <c r="K29" s="225">
        <v>429</v>
      </c>
      <c r="L29" s="232">
        <v>494</v>
      </c>
      <c r="M29" s="98"/>
      <c r="N29" s="225">
        <f aca="true" t="shared" si="4" ref="N29:N43">SUM(C29:M29)</f>
        <v>2649</v>
      </c>
      <c r="O29" s="227">
        <v>5</v>
      </c>
      <c r="P29" s="227">
        <v>3</v>
      </c>
      <c r="Q29" s="227">
        <v>79</v>
      </c>
      <c r="R29" s="227">
        <v>2</v>
      </c>
      <c r="S29" s="227">
        <v>1</v>
      </c>
    </row>
    <row r="30" spans="1:19" s="204" customFormat="1" ht="15.75">
      <c r="A30" s="204" t="s">
        <v>287</v>
      </c>
      <c r="B30" s="220" t="s">
        <v>177</v>
      </c>
      <c r="C30" s="224">
        <v>424</v>
      </c>
      <c r="D30" s="220"/>
      <c r="E30" s="220"/>
      <c r="F30" s="220"/>
      <c r="G30" s="220">
        <v>421</v>
      </c>
      <c r="H30" s="224">
        <v>451</v>
      </c>
      <c r="I30" s="220"/>
      <c r="J30" s="220">
        <v>422</v>
      </c>
      <c r="K30" s="224">
        <v>449</v>
      </c>
      <c r="L30" s="224">
        <v>439</v>
      </c>
      <c r="M30" s="221"/>
      <c r="N30" s="220">
        <f t="shared" si="4"/>
        <v>2606</v>
      </c>
      <c r="O30" s="204">
        <v>6</v>
      </c>
      <c r="P30" s="204">
        <v>2</v>
      </c>
      <c r="Q30" s="204">
        <v>155</v>
      </c>
      <c r="R30" s="204">
        <v>2</v>
      </c>
      <c r="S30" s="204">
        <v>1</v>
      </c>
    </row>
    <row r="31" spans="1:21" s="227" customFormat="1" ht="15.75">
      <c r="A31" s="227" t="s">
        <v>136</v>
      </c>
      <c r="B31" s="227" t="s">
        <v>15</v>
      </c>
      <c r="D31" s="225">
        <v>405</v>
      </c>
      <c r="E31" s="225">
        <v>425</v>
      </c>
      <c r="F31" s="225"/>
      <c r="G31" s="225"/>
      <c r="H31" s="225">
        <v>428</v>
      </c>
      <c r="I31" s="225">
        <v>419</v>
      </c>
      <c r="J31" s="225"/>
      <c r="K31" s="232">
        <v>445</v>
      </c>
      <c r="L31" s="225">
        <v>423</v>
      </c>
      <c r="M31" s="229"/>
      <c r="N31" s="225">
        <f t="shared" si="4"/>
        <v>2545</v>
      </c>
      <c r="O31" s="227">
        <v>1</v>
      </c>
      <c r="P31" s="227">
        <v>7</v>
      </c>
      <c r="Q31" s="227">
        <v>-102</v>
      </c>
      <c r="R31" s="227">
        <v>0</v>
      </c>
      <c r="U31" s="227">
        <v>1</v>
      </c>
    </row>
    <row r="32" spans="1:21" s="204" customFormat="1" ht="15.75">
      <c r="A32" s="204" t="s">
        <v>137</v>
      </c>
      <c r="B32" s="116" t="s">
        <v>218</v>
      </c>
      <c r="D32" s="220"/>
      <c r="E32" s="220"/>
      <c r="F32" s="220">
        <v>405</v>
      </c>
      <c r="G32" s="224">
        <v>427</v>
      </c>
      <c r="H32" s="220">
        <v>398</v>
      </c>
      <c r="I32" s="220">
        <v>382</v>
      </c>
      <c r="J32" s="220"/>
      <c r="K32" s="220">
        <v>416</v>
      </c>
      <c r="L32" s="224">
        <v>450</v>
      </c>
      <c r="M32" s="221"/>
      <c r="N32" s="220">
        <f t="shared" si="4"/>
        <v>2478</v>
      </c>
      <c r="O32" s="204">
        <v>2</v>
      </c>
      <c r="P32" s="204">
        <v>6</v>
      </c>
      <c r="Q32" s="204">
        <v>-30</v>
      </c>
      <c r="R32" s="204">
        <v>0</v>
      </c>
      <c r="U32" s="204">
        <v>1</v>
      </c>
    </row>
    <row r="33" spans="1:19" s="227" customFormat="1" ht="15.75">
      <c r="A33" s="227" t="s">
        <v>138</v>
      </c>
      <c r="B33" s="225" t="s">
        <v>258</v>
      </c>
      <c r="C33" s="232">
        <v>454</v>
      </c>
      <c r="D33" s="225"/>
      <c r="E33" s="225">
        <v>417</v>
      </c>
      <c r="F33" s="225"/>
      <c r="G33" s="225"/>
      <c r="H33" s="225">
        <v>227</v>
      </c>
      <c r="I33" s="225">
        <v>416</v>
      </c>
      <c r="J33" s="225">
        <v>189</v>
      </c>
      <c r="K33" s="232">
        <v>472</v>
      </c>
      <c r="L33" s="232">
        <v>466</v>
      </c>
      <c r="M33" s="229"/>
      <c r="N33" s="225">
        <f t="shared" si="4"/>
        <v>2641</v>
      </c>
      <c r="O33" s="227">
        <v>5</v>
      </c>
      <c r="P33" s="227">
        <v>3</v>
      </c>
      <c r="Q33" s="227">
        <v>181</v>
      </c>
      <c r="R33" s="227">
        <v>2</v>
      </c>
      <c r="S33" s="227">
        <v>1</v>
      </c>
    </row>
    <row r="34" spans="1:19" s="204" customFormat="1" ht="15.75">
      <c r="A34" s="204" t="s">
        <v>139</v>
      </c>
      <c r="B34" s="220" t="s">
        <v>257</v>
      </c>
      <c r="C34" s="224">
        <v>434</v>
      </c>
      <c r="D34" s="224">
        <v>461</v>
      </c>
      <c r="E34" s="220"/>
      <c r="F34" s="220"/>
      <c r="G34" s="220"/>
      <c r="H34" s="220">
        <v>211</v>
      </c>
      <c r="I34" s="224">
        <v>456</v>
      </c>
      <c r="J34" s="220">
        <v>166</v>
      </c>
      <c r="K34" s="220">
        <v>423</v>
      </c>
      <c r="L34" s="224">
        <v>486</v>
      </c>
      <c r="M34" s="221"/>
      <c r="N34" s="220">
        <f t="shared" si="4"/>
        <v>2637</v>
      </c>
      <c r="O34" s="204">
        <v>6</v>
      </c>
      <c r="P34" s="204">
        <v>2</v>
      </c>
      <c r="Q34" s="204">
        <v>125</v>
      </c>
      <c r="R34" s="204">
        <v>2</v>
      </c>
      <c r="S34" s="204">
        <v>1</v>
      </c>
    </row>
    <row r="35" spans="1:19" s="227" customFormat="1" ht="15.75">
      <c r="A35" s="227" t="s">
        <v>140</v>
      </c>
      <c r="B35" s="225" t="s">
        <v>19</v>
      </c>
      <c r="D35" s="225"/>
      <c r="E35" s="232">
        <v>434</v>
      </c>
      <c r="F35" s="225"/>
      <c r="G35" s="232">
        <v>439</v>
      </c>
      <c r="H35" s="232">
        <v>449</v>
      </c>
      <c r="I35" s="232">
        <v>430</v>
      </c>
      <c r="J35" s="225"/>
      <c r="K35" s="225">
        <v>410</v>
      </c>
      <c r="L35" s="232">
        <v>471</v>
      </c>
      <c r="M35" s="229"/>
      <c r="N35" s="225">
        <f t="shared" si="4"/>
        <v>2633</v>
      </c>
      <c r="O35" s="227">
        <v>7</v>
      </c>
      <c r="P35" s="227">
        <v>1</v>
      </c>
      <c r="Q35" s="227">
        <v>178</v>
      </c>
      <c r="R35" s="227">
        <v>2</v>
      </c>
      <c r="S35" s="227">
        <v>1</v>
      </c>
    </row>
    <row r="36" spans="1:19" s="204" customFormat="1" ht="15.75">
      <c r="A36" s="204" t="s">
        <v>141</v>
      </c>
      <c r="B36" s="220" t="s">
        <v>220</v>
      </c>
      <c r="D36" s="220"/>
      <c r="E36" s="220">
        <v>185</v>
      </c>
      <c r="F36" s="220">
        <v>204</v>
      </c>
      <c r="G36" s="224">
        <v>426</v>
      </c>
      <c r="H36" s="220">
        <v>199</v>
      </c>
      <c r="I36" s="224">
        <v>410</v>
      </c>
      <c r="J36" s="220">
        <v>409</v>
      </c>
      <c r="K36" s="220">
        <v>211</v>
      </c>
      <c r="L36" s="224">
        <v>459</v>
      </c>
      <c r="M36" s="221"/>
      <c r="N36" s="220">
        <f t="shared" si="4"/>
        <v>2503</v>
      </c>
      <c r="O36" s="204">
        <v>5</v>
      </c>
      <c r="P36" s="204">
        <v>3</v>
      </c>
      <c r="Q36" s="204">
        <v>63</v>
      </c>
      <c r="R36" s="204">
        <v>2</v>
      </c>
      <c r="S36" s="204">
        <v>1</v>
      </c>
    </row>
    <row r="37" spans="1:21" s="227" customFormat="1" ht="15.75">
      <c r="A37" s="227" t="s">
        <v>142</v>
      </c>
      <c r="B37" s="227" t="s">
        <v>219</v>
      </c>
      <c r="D37" s="225">
        <v>432</v>
      </c>
      <c r="E37" s="225">
        <v>429</v>
      </c>
      <c r="F37" s="225"/>
      <c r="G37" s="225">
        <v>421</v>
      </c>
      <c r="H37" s="225">
        <v>207</v>
      </c>
      <c r="I37" s="225">
        <v>203</v>
      </c>
      <c r="J37" s="225"/>
      <c r="K37" s="232">
        <v>433</v>
      </c>
      <c r="L37" s="232">
        <v>464</v>
      </c>
      <c r="M37" s="229"/>
      <c r="N37" s="225">
        <f t="shared" si="4"/>
        <v>2589</v>
      </c>
      <c r="O37" s="227">
        <v>2</v>
      </c>
      <c r="P37" s="227">
        <v>6</v>
      </c>
      <c r="Q37" s="227">
        <v>-32</v>
      </c>
      <c r="R37" s="227">
        <v>0</v>
      </c>
      <c r="U37" s="227">
        <v>1</v>
      </c>
    </row>
    <row r="38" spans="1:21" s="204" customFormat="1" ht="15.75">
      <c r="A38" s="204" t="s">
        <v>143</v>
      </c>
      <c r="B38" s="204" t="s">
        <v>23</v>
      </c>
      <c r="D38" s="220">
        <v>416</v>
      </c>
      <c r="E38" s="220">
        <v>417</v>
      </c>
      <c r="F38" s="220">
        <v>420</v>
      </c>
      <c r="G38" s="224">
        <v>447</v>
      </c>
      <c r="H38" s="220">
        <v>218</v>
      </c>
      <c r="I38" s="220"/>
      <c r="J38" s="220"/>
      <c r="K38" s="220">
        <v>196</v>
      </c>
      <c r="L38" s="224">
        <v>460</v>
      </c>
      <c r="M38" s="221"/>
      <c r="N38" s="220">
        <f t="shared" si="4"/>
        <v>2574</v>
      </c>
      <c r="O38" s="204">
        <v>2</v>
      </c>
      <c r="P38" s="204">
        <v>6</v>
      </c>
      <c r="Q38" s="204">
        <v>-95</v>
      </c>
      <c r="R38" s="204">
        <v>0</v>
      </c>
      <c r="U38" s="204">
        <v>1</v>
      </c>
    </row>
    <row r="39" spans="1:19" s="227" customFormat="1" ht="15.75">
      <c r="A39" s="227" t="s">
        <v>144</v>
      </c>
      <c r="B39" s="225" t="s">
        <v>180</v>
      </c>
      <c r="C39" s="232">
        <v>442</v>
      </c>
      <c r="D39" s="232">
        <v>462</v>
      </c>
      <c r="E39" s="232">
        <v>468</v>
      </c>
      <c r="F39" s="225"/>
      <c r="G39" s="225"/>
      <c r="H39" s="225">
        <v>424</v>
      </c>
      <c r="I39" s="225">
        <v>419</v>
      </c>
      <c r="J39" s="225"/>
      <c r="K39" s="225"/>
      <c r="L39" s="232">
        <v>468</v>
      </c>
      <c r="M39" s="229"/>
      <c r="N39" s="225">
        <f t="shared" si="4"/>
        <v>2683</v>
      </c>
      <c r="O39" s="227">
        <v>6</v>
      </c>
      <c r="P39" s="227">
        <v>2</v>
      </c>
      <c r="Q39" s="227">
        <v>98</v>
      </c>
      <c r="R39" s="227">
        <v>2</v>
      </c>
      <c r="S39" s="227">
        <v>1</v>
      </c>
    </row>
    <row r="40" spans="1:21" s="204" customFormat="1" ht="15.75">
      <c r="A40" s="204" t="s">
        <v>145</v>
      </c>
      <c r="B40" s="204" t="s">
        <v>18</v>
      </c>
      <c r="C40" s="204">
        <v>404</v>
      </c>
      <c r="D40" s="224">
        <v>452</v>
      </c>
      <c r="E40" s="220"/>
      <c r="F40" s="220"/>
      <c r="G40" s="220"/>
      <c r="H40" s="220"/>
      <c r="I40" s="220">
        <v>401</v>
      </c>
      <c r="J40" s="220">
        <v>398</v>
      </c>
      <c r="K40" s="220">
        <v>411</v>
      </c>
      <c r="L40" s="224">
        <v>466</v>
      </c>
      <c r="M40" s="221"/>
      <c r="N40" s="220">
        <f t="shared" si="4"/>
        <v>2532</v>
      </c>
      <c r="O40" s="204">
        <v>2</v>
      </c>
      <c r="P40" s="204">
        <v>6</v>
      </c>
      <c r="Q40" s="204">
        <v>-2</v>
      </c>
      <c r="R40" s="204">
        <v>0</v>
      </c>
      <c r="U40" s="204">
        <v>1</v>
      </c>
    </row>
    <row r="41" spans="1:21" s="204" customFormat="1" ht="15.75">
      <c r="A41" s="204" t="s">
        <v>146</v>
      </c>
      <c r="B41" s="204" t="s">
        <v>178</v>
      </c>
      <c r="D41" s="220"/>
      <c r="E41" s="220">
        <v>391</v>
      </c>
      <c r="F41" s="220"/>
      <c r="G41" s="224">
        <v>433</v>
      </c>
      <c r="H41" s="220">
        <v>408</v>
      </c>
      <c r="I41" s="224">
        <v>441</v>
      </c>
      <c r="J41" s="220"/>
      <c r="K41" s="220">
        <v>386</v>
      </c>
      <c r="L41" s="224">
        <v>467</v>
      </c>
      <c r="M41" s="221"/>
      <c r="N41" s="220">
        <f t="shared" si="4"/>
        <v>2526</v>
      </c>
      <c r="O41" s="204">
        <v>3</v>
      </c>
      <c r="P41" s="204">
        <v>5</v>
      </c>
      <c r="Q41" s="204">
        <v>-47</v>
      </c>
      <c r="R41" s="204">
        <v>0</v>
      </c>
      <c r="U41" s="204">
        <v>1</v>
      </c>
    </row>
    <row r="42" spans="1:19" s="227" customFormat="1" ht="15.75">
      <c r="A42" s="227" t="s">
        <v>147</v>
      </c>
      <c r="B42" s="225" t="s">
        <v>259</v>
      </c>
      <c r="C42" s="232">
        <v>452</v>
      </c>
      <c r="D42" s="225"/>
      <c r="E42" s="232">
        <v>451</v>
      </c>
      <c r="F42" s="225"/>
      <c r="G42" s="232">
        <v>448</v>
      </c>
      <c r="H42" s="225"/>
      <c r="I42" s="225">
        <v>400</v>
      </c>
      <c r="J42" s="225">
        <v>193</v>
      </c>
      <c r="K42" s="225">
        <v>190</v>
      </c>
      <c r="L42" s="232">
        <v>477</v>
      </c>
      <c r="M42" s="229"/>
      <c r="N42" s="225">
        <f t="shared" si="4"/>
        <v>2611</v>
      </c>
      <c r="O42" s="227">
        <v>6</v>
      </c>
      <c r="P42" s="227">
        <v>2</v>
      </c>
      <c r="Q42" s="227">
        <v>44</v>
      </c>
      <c r="R42" s="227">
        <v>2</v>
      </c>
      <c r="S42" s="227">
        <v>1</v>
      </c>
    </row>
    <row r="43" spans="1:21" s="204" customFormat="1" ht="16.5" thickBot="1">
      <c r="A43" s="204" t="s">
        <v>148</v>
      </c>
      <c r="B43" s="204" t="s">
        <v>20</v>
      </c>
      <c r="C43" s="204">
        <v>414</v>
      </c>
      <c r="D43" s="220"/>
      <c r="E43" s="220">
        <v>433</v>
      </c>
      <c r="F43" s="220"/>
      <c r="G43" s="220"/>
      <c r="H43" s="224">
        <v>448</v>
      </c>
      <c r="I43" s="224">
        <v>443</v>
      </c>
      <c r="J43" s="220"/>
      <c r="K43" s="224">
        <v>468</v>
      </c>
      <c r="L43" s="220"/>
      <c r="M43" s="221">
        <v>251</v>
      </c>
      <c r="N43" s="220">
        <f t="shared" si="4"/>
        <v>2457</v>
      </c>
      <c r="O43" s="204">
        <v>3</v>
      </c>
      <c r="P43" s="204">
        <v>5</v>
      </c>
      <c r="Q43" s="204">
        <v>-176</v>
      </c>
      <c r="R43" s="204">
        <v>0</v>
      </c>
      <c r="U43" s="204">
        <v>1</v>
      </c>
    </row>
    <row r="44" spans="3:21" ht="16.5" thickTop="1">
      <c r="C44" s="33">
        <f>SUM(C29:C33)+SUM(C34:C43)</f>
        <v>3024</v>
      </c>
      <c r="D44" s="33">
        <f>SUM(D29:D33)+SUM(D34:D43)</f>
        <v>3073</v>
      </c>
      <c r="E44" s="33">
        <f>SUM(E29:E35)+SUM(E37:E43)</f>
        <v>4298</v>
      </c>
      <c r="F44" s="33">
        <f>SUM(F29:F35)+SUM(F37:F43)</f>
        <v>825</v>
      </c>
      <c r="G44" s="33">
        <f aca="true" t="shared" si="5" ref="G44:M44">SUM(G29:G43)</f>
        <v>3878</v>
      </c>
      <c r="H44" s="33">
        <f>SUM(H29:H32)+SUM(H39:H43)+H35</f>
        <v>3006</v>
      </c>
      <c r="I44" s="33">
        <f>SUM(I29:I36)+SUM(I38:I43)</f>
        <v>5049</v>
      </c>
      <c r="J44" s="33">
        <f>SUM(J29:J32)+SUM(J35:J41)+SUM(J43)</f>
        <v>1229</v>
      </c>
      <c r="K44" s="33">
        <f>SUM(K29:K35)+SUM(K39:K41)+SUM(K43)+SUM(K37)</f>
        <v>4742</v>
      </c>
      <c r="L44" s="33">
        <f t="shared" si="5"/>
        <v>6490</v>
      </c>
      <c r="M44" s="33">
        <f t="shared" si="5"/>
        <v>251</v>
      </c>
      <c r="O44" s="1">
        <f>SUM(O29:O43)</f>
        <v>61</v>
      </c>
      <c r="P44" s="1">
        <f>SUM(P29:P43)</f>
        <v>59</v>
      </c>
      <c r="Q44" s="1">
        <f>SUM(Q29:Q43)</f>
        <v>439</v>
      </c>
      <c r="R44" s="1">
        <f>SUM(R29:R43)</f>
        <v>16</v>
      </c>
      <c r="S44" s="1">
        <f>SUM(S29:S43)+S21</f>
        <v>17</v>
      </c>
      <c r="T44" s="1">
        <f>SUM(T29:T43)+T21</f>
        <v>0</v>
      </c>
      <c r="U44" s="1">
        <f>SUM(U29:U43)+U21</f>
        <v>13</v>
      </c>
    </row>
    <row r="45" spans="2:13" ht="15.75">
      <c r="B45" s="36" t="s">
        <v>213</v>
      </c>
      <c r="C45" s="1">
        <f>COUNT(C29:C43)</f>
        <v>7</v>
      </c>
      <c r="D45" s="1">
        <f>COUNT(D29:D33)+COUNT(D34:D43)</f>
        <v>7</v>
      </c>
      <c r="E45" s="1">
        <f>COUNT(E29:E35)+COUNT(E37:E43)</f>
        <v>10</v>
      </c>
      <c r="F45" s="1">
        <f>COUNT(F29:F35)+COUNT(F37:F43)</f>
        <v>2</v>
      </c>
      <c r="G45" s="1">
        <f>COUNT(G29:G43)+COUNT(#REF!)</f>
        <v>9</v>
      </c>
      <c r="H45" s="1">
        <f>COUNT(H29:H32)+COUNT(H39:H43)+COUNT(H35)</f>
        <v>7</v>
      </c>
      <c r="I45" s="1">
        <f>COUNT(I29:I36)+COUNT(I38:I43)</f>
        <v>12</v>
      </c>
      <c r="J45" s="1">
        <f>COUNT(J29:J32)+COUNT(J35:J41)+COUNT(J43)</f>
        <v>3</v>
      </c>
      <c r="K45" s="1">
        <f>COUNT(K29:K35)+COUNT(K39:K41)+COUNT(K43)+COUNT(K37)</f>
        <v>11</v>
      </c>
      <c r="L45" s="1">
        <f>COUNT(L29:L43)</f>
        <v>14</v>
      </c>
      <c r="M45" s="1">
        <f>COUNT(M29:M43)</f>
        <v>1</v>
      </c>
    </row>
    <row r="46" spans="2:21" ht="31.5">
      <c r="B46" s="11" t="s">
        <v>210</v>
      </c>
      <c r="C46" s="16">
        <f>C44/C45</f>
        <v>432</v>
      </c>
      <c r="D46" s="16">
        <f>D44/D45</f>
        <v>439</v>
      </c>
      <c r="E46" s="16">
        <f aca="true" t="shared" si="6" ref="E46:M46">E44/E45</f>
        <v>429.8</v>
      </c>
      <c r="F46" s="16">
        <f t="shared" si="6"/>
        <v>412.5</v>
      </c>
      <c r="G46" s="16">
        <f t="shared" si="6"/>
        <v>430.8888888888889</v>
      </c>
      <c r="H46" s="16">
        <f t="shared" si="6"/>
        <v>429.42857142857144</v>
      </c>
      <c r="I46" s="16">
        <f t="shared" si="6"/>
        <v>420.75</v>
      </c>
      <c r="J46" s="16">
        <f t="shared" si="6"/>
        <v>409.6666666666667</v>
      </c>
      <c r="K46" s="16">
        <f t="shared" si="6"/>
        <v>431.09090909090907</v>
      </c>
      <c r="L46" s="16">
        <f t="shared" si="6"/>
        <v>463.57142857142856</v>
      </c>
      <c r="M46" s="16">
        <f t="shared" si="6"/>
        <v>251</v>
      </c>
      <c r="N46" s="3" t="s">
        <v>27</v>
      </c>
      <c r="O46" s="3" t="s">
        <v>102</v>
      </c>
      <c r="P46" s="3"/>
      <c r="Q46" s="3" t="s">
        <v>28</v>
      </c>
      <c r="R46" s="10" t="s">
        <v>103</v>
      </c>
      <c r="S46"/>
      <c r="T46" s="40" t="s">
        <v>111</v>
      </c>
      <c r="U46" s="40" t="s">
        <v>192</v>
      </c>
    </row>
    <row r="47" spans="13:21" ht="15.75">
      <c r="M47" s="16"/>
      <c r="N47" s="6">
        <f>SUM(N29:N43)+N24</f>
        <v>77595</v>
      </c>
      <c r="O47" s="6">
        <f>SUM(O29:O43)+O24</f>
        <v>125</v>
      </c>
      <c r="P47" s="6">
        <f>SUM(P29:P43)+P24</f>
        <v>115</v>
      </c>
      <c r="Q47" s="6">
        <f>SUM(Q29:Q43)+Q24</f>
        <v>1008</v>
      </c>
      <c r="R47" s="6">
        <f>SUM(R29:R43)+R24</f>
        <v>34</v>
      </c>
      <c r="S47"/>
      <c r="T47" s="2">
        <f>O47-P47</f>
        <v>10</v>
      </c>
      <c r="U47" s="26">
        <f>SUM(S44:U44)</f>
        <v>30</v>
      </c>
    </row>
    <row r="48" spans="19:20" ht="15.75">
      <c r="S48"/>
      <c r="T48"/>
    </row>
    <row r="49" spans="16:17" ht="15.75">
      <c r="P49" s="1" t="s">
        <v>113</v>
      </c>
      <c r="Q49" s="18">
        <f>N47/U47</f>
        <v>2586.5</v>
      </c>
    </row>
  </sheetData>
  <sheetProtection/>
  <mergeCells count="10">
    <mergeCell ref="L1:M1"/>
    <mergeCell ref="E1:F1"/>
    <mergeCell ref="L2:M2"/>
    <mergeCell ref="G1:H1"/>
    <mergeCell ref="Q4:R4"/>
    <mergeCell ref="C25:D25"/>
    <mergeCell ref="O23:P23"/>
    <mergeCell ref="I25:L25"/>
    <mergeCell ref="F25:G25"/>
    <mergeCell ref="C4:O4"/>
  </mergeCells>
  <printOptions/>
  <pageMargins left="0.75" right="0.75" top="1" bottom="1" header="0.5" footer="0.5"/>
  <pageSetup blackAndWhite="1" horizontalDpi="600" verticalDpi="600" orientation="portrait" paperSize="9" r:id="rId1"/>
  <ignoredErrors>
    <ignoredError sqref="D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="90" zoomScaleNormal="90" zoomScalePageLayoutView="0" workbookViewId="0" topLeftCell="A23">
      <selection activeCell="C43" sqref="C43"/>
    </sheetView>
  </sheetViews>
  <sheetFormatPr defaultColWidth="9.00390625" defaultRowHeight="12.75"/>
  <cols>
    <col min="1" max="1" width="11.75390625" style="1" bestFit="1" customWidth="1"/>
    <col min="2" max="2" width="21.00390625" style="1" bestFit="1" customWidth="1"/>
    <col min="3" max="3" width="10.00390625" style="1" customWidth="1"/>
    <col min="4" max="4" width="11.25390625" style="1" customWidth="1"/>
    <col min="5" max="5" width="10.875" style="1" customWidth="1"/>
    <col min="6" max="6" width="8.625" style="1" customWidth="1"/>
    <col min="7" max="7" width="9.125" style="1" customWidth="1"/>
    <col min="8" max="8" width="9.75390625" style="1" customWidth="1"/>
    <col min="9" max="9" width="11.875" style="1" customWidth="1"/>
    <col min="10" max="10" width="11.625" style="1" customWidth="1"/>
    <col min="11" max="11" width="11.375" style="1" customWidth="1"/>
    <col min="12" max="12" width="12.00390625" style="1" customWidth="1"/>
    <col min="13" max="13" width="17.75390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8" max="18" width="9.25390625" style="0" bestFit="1" customWidth="1"/>
    <col min="19" max="19" width="11.125" style="0" customWidth="1"/>
    <col min="20" max="20" width="10.25390625" style="0" customWidth="1"/>
  </cols>
  <sheetData>
    <row r="1" spans="1:15" ht="15.75">
      <c r="A1" s="27" t="s">
        <v>125</v>
      </c>
      <c r="B1" s="31"/>
      <c r="C1" s="32" t="s">
        <v>225</v>
      </c>
      <c r="D1" s="28" t="s">
        <v>123</v>
      </c>
      <c r="E1" s="306" t="s">
        <v>124</v>
      </c>
      <c r="F1" s="306"/>
      <c r="H1" s="301" t="s">
        <v>134</v>
      </c>
      <c r="I1" s="301"/>
      <c r="J1" s="11" t="s">
        <v>135</v>
      </c>
      <c r="K1" s="301" t="s">
        <v>111</v>
      </c>
      <c r="L1" s="301"/>
      <c r="N1" s="61" t="s">
        <v>113</v>
      </c>
      <c r="O1" s="18">
        <f>M24/T24</f>
        <v>2529.9333333333334</v>
      </c>
    </row>
    <row r="2" spans="8:15" ht="15.75">
      <c r="H2" s="1">
        <f>N24+N44</f>
        <v>126</v>
      </c>
      <c r="I2" s="1">
        <f>O24+O44</f>
        <v>114</v>
      </c>
      <c r="J2" s="1">
        <f>Q24+Q44</f>
        <v>32</v>
      </c>
      <c r="K2" s="307">
        <f>H2-I2</f>
        <v>12</v>
      </c>
      <c r="L2" s="307"/>
      <c r="N2" s="61" t="s">
        <v>198</v>
      </c>
      <c r="O2" s="6">
        <f>M7+M9+M12+M14+M16+M18+M20+M29+M31+M32+M34+M36+M38+M40+M42</f>
        <v>37161</v>
      </c>
    </row>
    <row r="4" spans="3:20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N4" s="308" t="s">
        <v>25</v>
      </c>
      <c r="O4" s="308"/>
      <c r="R4" s="2"/>
      <c r="S4" s="2"/>
      <c r="T4" s="2"/>
    </row>
    <row r="5" spans="2:20" ht="32.25" thickBot="1">
      <c r="B5" s="3" t="s">
        <v>22</v>
      </c>
      <c r="C5" s="8" t="s">
        <v>61</v>
      </c>
      <c r="D5" s="8" t="s">
        <v>62</v>
      </c>
      <c r="E5" s="59" t="s">
        <v>63</v>
      </c>
      <c r="F5" s="59" t="s">
        <v>64</v>
      </c>
      <c r="G5" s="59" t="s">
        <v>65</v>
      </c>
      <c r="H5" s="59" t="s">
        <v>87</v>
      </c>
      <c r="I5" s="59" t="s">
        <v>88</v>
      </c>
      <c r="J5" s="59" t="s">
        <v>254</v>
      </c>
      <c r="K5" s="8" t="s">
        <v>188</v>
      </c>
      <c r="L5" s="173" t="s">
        <v>280</v>
      </c>
      <c r="M5" s="3" t="s">
        <v>27</v>
      </c>
      <c r="N5" s="3" t="s">
        <v>20</v>
      </c>
      <c r="O5" s="3" t="s">
        <v>26</v>
      </c>
      <c r="P5" s="3" t="s">
        <v>28</v>
      </c>
      <c r="Q5" s="10" t="s">
        <v>101</v>
      </c>
      <c r="R5" s="2" t="s">
        <v>162</v>
      </c>
      <c r="S5" s="2" t="s">
        <v>163</v>
      </c>
      <c r="T5" s="2" t="s">
        <v>164</v>
      </c>
    </row>
    <row r="6" spans="1:21" s="97" customFormat="1" ht="15.75">
      <c r="A6" s="100" t="s">
        <v>0</v>
      </c>
      <c r="B6" s="96" t="s">
        <v>258</v>
      </c>
      <c r="C6" s="101">
        <v>404</v>
      </c>
      <c r="D6" s="101"/>
      <c r="E6" s="101"/>
      <c r="F6" s="174">
        <v>422</v>
      </c>
      <c r="G6" s="174">
        <v>447</v>
      </c>
      <c r="H6" s="101">
        <v>403</v>
      </c>
      <c r="I6" s="101"/>
      <c r="J6" s="101">
        <v>393</v>
      </c>
      <c r="K6" s="174">
        <v>470</v>
      </c>
      <c r="L6" s="102"/>
      <c r="M6" s="99">
        <f>SUM(B6:L6)</f>
        <v>2539</v>
      </c>
      <c r="N6" s="105">
        <v>5</v>
      </c>
      <c r="O6" s="105">
        <v>3</v>
      </c>
      <c r="P6" s="106">
        <v>78</v>
      </c>
      <c r="Q6" s="105">
        <v>2</v>
      </c>
      <c r="R6" s="107">
        <v>1</v>
      </c>
      <c r="S6" s="107"/>
      <c r="T6" s="107"/>
      <c r="U6" s="149"/>
    </row>
    <row r="7" spans="1:20" s="115" customFormat="1" ht="15.75">
      <c r="A7" s="120" t="s">
        <v>1</v>
      </c>
      <c r="B7" s="116" t="s">
        <v>218</v>
      </c>
      <c r="C7" s="177">
        <v>437</v>
      </c>
      <c r="D7" s="177">
        <v>417</v>
      </c>
      <c r="E7" s="114"/>
      <c r="F7" s="114">
        <v>374</v>
      </c>
      <c r="G7" s="177">
        <v>396</v>
      </c>
      <c r="H7" s="114">
        <v>384</v>
      </c>
      <c r="I7" s="114"/>
      <c r="J7" s="114"/>
      <c r="K7" s="114"/>
      <c r="L7" s="117">
        <v>378</v>
      </c>
      <c r="M7" s="118">
        <f>SUM(C7:L7)</f>
        <v>2386</v>
      </c>
      <c r="N7" s="113">
        <v>3</v>
      </c>
      <c r="O7" s="113">
        <v>5</v>
      </c>
      <c r="P7" s="118">
        <f>M7-2458</f>
        <v>-72</v>
      </c>
      <c r="Q7" s="113">
        <v>0</v>
      </c>
      <c r="R7" s="119"/>
      <c r="S7" s="119"/>
      <c r="T7" s="119">
        <v>1</v>
      </c>
    </row>
    <row r="8" spans="1:18" s="100" customFormat="1" ht="15.75">
      <c r="A8" s="100" t="s">
        <v>2</v>
      </c>
      <c r="B8" s="100" t="s">
        <v>15</v>
      </c>
      <c r="C8" s="179">
        <v>437</v>
      </c>
      <c r="D8" s="96"/>
      <c r="E8" s="179">
        <v>460</v>
      </c>
      <c r="F8" s="179">
        <v>439</v>
      </c>
      <c r="G8" s="179">
        <v>461</v>
      </c>
      <c r="H8" s="96">
        <v>412</v>
      </c>
      <c r="I8" s="96"/>
      <c r="J8" s="96"/>
      <c r="K8" s="96"/>
      <c r="L8" s="102">
        <v>422</v>
      </c>
      <c r="M8" s="99">
        <f>SUM(B8:L8)</f>
        <v>2631</v>
      </c>
      <c r="N8" s="100">
        <v>6</v>
      </c>
      <c r="O8" s="100">
        <v>2</v>
      </c>
      <c r="P8" s="100">
        <v>96</v>
      </c>
      <c r="Q8" s="100">
        <v>2</v>
      </c>
      <c r="R8" s="100">
        <v>1</v>
      </c>
    </row>
    <row r="9" spans="1:18" s="120" customFormat="1" ht="15.75">
      <c r="A9" s="120" t="s">
        <v>3</v>
      </c>
      <c r="B9" s="114" t="s">
        <v>177</v>
      </c>
      <c r="C9" s="114">
        <v>387</v>
      </c>
      <c r="D9" s="114">
        <v>397</v>
      </c>
      <c r="E9" s="114"/>
      <c r="F9" s="177">
        <v>420</v>
      </c>
      <c r="G9" s="114">
        <v>394</v>
      </c>
      <c r="H9" s="177">
        <v>402</v>
      </c>
      <c r="I9" s="114"/>
      <c r="J9" s="114"/>
      <c r="K9" s="114"/>
      <c r="L9" s="183">
        <v>402</v>
      </c>
      <c r="M9" s="132">
        <f>SUM(B9:L9)</f>
        <v>2402</v>
      </c>
      <c r="N9" s="120">
        <v>5</v>
      </c>
      <c r="O9" s="120">
        <v>3</v>
      </c>
      <c r="P9" s="132">
        <v>5</v>
      </c>
      <c r="Q9" s="120">
        <v>2</v>
      </c>
      <c r="R9" s="120">
        <v>1</v>
      </c>
    </row>
    <row r="10" spans="1:18" s="100" customFormat="1" ht="15.75">
      <c r="A10" s="100" t="s">
        <v>4</v>
      </c>
      <c r="B10" s="96" t="s">
        <v>179</v>
      </c>
      <c r="C10" s="179">
        <v>436</v>
      </c>
      <c r="D10" s="96"/>
      <c r="E10" s="179">
        <v>479</v>
      </c>
      <c r="F10" s="96"/>
      <c r="G10" s="96">
        <v>413</v>
      </c>
      <c r="H10" s="96">
        <v>408</v>
      </c>
      <c r="I10" s="96"/>
      <c r="J10" s="96"/>
      <c r="K10" s="179">
        <v>465</v>
      </c>
      <c r="L10" s="191">
        <v>471</v>
      </c>
      <c r="M10" s="99">
        <f aca="true" t="shared" si="0" ref="M10:M16">SUM(C10:L10)</f>
        <v>2672</v>
      </c>
      <c r="N10" s="100">
        <v>6</v>
      </c>
      <c r="O10" s="100">
        <v>2</v>
      </c>
      <c r="P10" s="99">
        <v>66</v>
      </c>
      <c r="Q10" s="100">
        <v>2</v>
      </c>
      <c r="R10" s="100">
        <v>1</v>
      </c>
    </row>
    <row r="11" spans="1:18" s="100" customFormat="1" ht="15.75">
      <c r="A11" s="100" t="s">
        <v>5</v>
      </c>
      <c r="B11" s="96" t="s">
        <v>18</v>
      </c>
      <c r="C11" s="179">
        <v>446</v>
      </c>
      <c r="D11" s="96"/>
      <c r="E11" s="179">
        <v>478</v>
      </c>
      <c r="F11" s="96">
        <v>412</v>
      </c>
      <c r="G11" s="179">
        <v>463</v>
      </c>
      <c r="H11" s="96">
        <v>435</v>
      </c>
      <c r="I11" s="96"/>
      <c r="J11" s="96"/>
      <c r="K11" s="179">
        <v>455</v>
      </c>
      <c r="L11" s="102"/>
      <c r="M11" s="99">
        <f t="shared" si="0"/>
        <v>2689</v>
      </c>
      <c r="N11" s="100">
        <v>6</v>
      </c>
      <c r="O11" s="100">
        <v>2</v>
      </c>
      <c r="P11" s="100">
        <v>60</v>
      </c>
      <c r="Q11" s="100">
        <v>2</v>
      </c>
      <c r="R11" s="100">
        <v>1</v>
      </c>
    </row>
    <row r="12" spans="1:18" s="120" customFormat="1" ht="15.75">
      <c r="A12" s="120" t="s">
        <v>6</v>
      </c>
      <c r="B12" s="114" t="s">
        <v>259</v>
      </c>
      <c r="C12" s="177">
        <v>424</v>
      </c>
      <c r="D12" s="177">
        <v>429</v>
      </c>
      <c r="E12" s="116"/>
      <c r="F12" s="116">
        <v>391</v>
      </c>
      <c r="G12" s="181">
        <v>411</v>
      </c>
      <c r="H12" s="116"/>
      <c r="I12" s="116">
        <v>372</v>
      </c>
      <c r="J12" s="116"/>
      <c r="K12" s="116"/>
      <c r="L12" s="183">
        <v>420</v>
      </c>
      <c r="M12" s="132">
        <f t="shared" si="0"/>
        <v>2447</v>
      </c>
      <c r="N12" s="120">
        <v>6</v>
      </c>
      <c r="O12" s="120">
        <v>2</v>
      </c>
      <c r="P12" s="132">
        <v>26</v>
      </c>
      <c r="Q12" s="120">
        <v>2</v>
      </c>
      <c r="R12" s="120">
        <v>1</v>
      </c>
    </row>
    <row r="13" spans="1:18" s="100" customFormat="1" ht="15.75">
      <c r="A13" s="100" t="s">
        <v>7</v>
      </c>
      <c r="B13" s="96" t="s">
        <v>178</v>
      </c>
      <c r="C13" s="179">
        <v>470</v>
      </c>
      <c r="D13" s="96">
        <v>433</v>
      </c>
      <c r="E13" s="96"/>
      <c r="F13" s="96">
        <v>409</v>
      </c>
      <c r="G13" s="179">
        <v>458</v>
      </c>
      <c r="H13" s="96"/>
      <c r="I13" s="96"/>
      <c r="J13" s="96"/>
      <c r="K13" s="179">
        <v>511</v>
      </c>
      <c r="L13" s="191">
        <v>446</v>
      </c>
      <c r="M13" s="99">
        <f t="shared" si="0"/>
        <v>2727</v>
      </c>
      <c r="N13" s="100">
        <v>6</v>
      </c>
      <c r="O13" s="100">
        <v>2</v>
      </c>
      <c r="P13" s="99">
        <v>170</v>
      </c>
      <c r="Q13" s="100">
        <v>2</v>
      </c>
      <c r="R13" s="100">
        <v>1</v>
      </c>
    </row>
    <row r="14" spans="1:18" s="120" customFormat="1" ht="15.75">
      <c r="A14" s="120" t="s">
        <v>8</v>
      </c>
      <c r="B14" s="120" t="s">
        <v>17</v>
      </c>
      <c r="C14" s="177">
        <v>450</v>
      </c>
      <c r="D14" s="114">
        <v>379</v>
      </c>
      <c r="E14" s="114"/>
      <c r="F14" s="177">
        <v>433</v>
      </c>
      <c r="G14" s="114">
        <v>417</v>
      </c>
      <c r="H14" s="177">
        <v>451</v>
      </c>
      <c r="I14" s="177">
        <v>452</v>
      </c>
      <c r="J14" s="114"/>
      <c r="K14" s="114"/>
      <c r="L14" s="117"/>
      <c r="M14" s="132">
        <f t="shared" si="0"/>
        <v>2582</v>
      </c>
      <c r="N14" s="120">
        <v>6</v>
      </c>
      <c r="O14" s="120">
        <v>2</v>
      </c>
      <c r="P14" s="120">
        <v>22</v>
      </c>
      <c r="Q14" s="120">
        <v>2</v>
      </c>
      <c r="R14" s="120">
        <v>1</v>
      </c>
    </row>
    <row r="15" spans="1:18" s="100" customFormat="1" ht="15.75">
      <c r="A15" s="100" t="s">
        <v>9</v>
      </c>
      <c r="B15" s="96" t="s">
        <v>180</v>
      </c>
      <c r="C15" s="179">
        <v>432</v>
      </c>
      <c r="D15" s="96"/>
      <c r="E15" s="96"/>
      <c r="F15" s="96">
        <v>431</v>
      </c>
      <c r="G15" s="96"/>
      <c r="H15" s="179">
        <v>434</v>
      </c>
      <c r="I15" s="96">
        <v>425</v>
      </c>
      <c r="J15" s="96"/>
      <c r="K15" s="174">
        <v>442</v>
      </c>
      <c r="L15" s="191">
        <v>465</v>
      </c>
      <c r="M15" s="99">
        <f t="shared" si="0"/>
        <v>2629</v>
      </c>
      <c r="N15" s="100">
        <v>6</v>
      </c>
      <c r="O15" s="100">
        <v>2</v>
      </c>
      <c r="P15" s="99">
        <v>79</v>
      </c>
      <c r="Q15" s="100">
        <v>2</v>
      </c>
      <c r="R15" s="100">
        <v>1</v>
      </c>
    </row>
    <row r="16" spans="1:20" s="120" customFormat="1" ht="15.75">
      <c r="A16" s="120" t="s">
        <v>10</v>
      </c>
      <c r="B16" s="120" t="s">
        <v>23</v>
      </c>
      <c r="C16" s="224">
        <v>444</v>
      </c>
      <c r="D16" s="114"/>
      <c r="E16" s="114">
        <v>404</v>
      </c>
      <c r="F16" s="114">
        <v>410</v>
      </c>
      <c r="G16" s="224">
        <v>454</v>
      </c>
      <c r="H16" s="114">
        <v>399</v>
      </c>
      <c r="I16" s="114"/>
      <c r="J16" s="114"/>
      <c r="K16" s="114"/>
      <c r="L16" s="117">
        <v>427</v>
      </c>
      <c r="M16" s="132">
        <f t="shared" si="0"/>
        <v>2538</v>
      </c>
      <c r="N16" s="120">
        <v>2</v>
      </c>
      <c r="O16" s="120">
        <v>6</v>
      </c>
      <c r="P16" s="120">
        <v>-156</v>
      </c>
      <c r="Q16" s="120">
        <v>0</v>
      </c>
      <c r="T16" s="120">
        <v>1</v>
      </c>
    </row>
    <row r="17" spans="1:20" s="100" customFormat="1" ht="15.75">
      <c r="A17" s="100" t="s">
        <v>11</v>
      </c>
      <c r="B17" s="96" t="s">
        <v>219</v>
      </c>
      <c r="C17" s="232">
        <v>444</v>
      </c>
      <c r="D17" s="225"/>
      <c r="E17" s="225"/>
      <c r="F17" s="225">
        <v>437</v>
      </c>
      <c r="G17" s="225">
        <v>408</v>
      </c>
      <c r="H17" s="225">
        <v>417</v>
      </c>
      <c r="I17" s="225">
        <v>403</v>
      </c>
      <c r="J17" s="225"/>
      <c r="K17" s="232">
        <v>460</v>
      </c>
      <c r="L17" s="229"/>
      <c r="M17" s="99">
        <f>SUM(C17:L17)</f>
        <v>2569</v>
      </c>
      <c r="N17" s="100">
        <v>2</v>
      </c>
      <c r="O17" s="100">
        <v>6</v>
      </c>
      <c r="P17" s="100">
        <v>-62</v>
      </c>
      <c r="Q17" s="100">
        <v>0</v>
      </c>
      <c r="T17" s="100">
        <v>1</v>
      </c>
    </row>
    <row r="18" spans="1:18" s="120" customFormat="1" ht="15.75">
      <c r="A18" s="120" t="s">
        <v>12</v>
      </c>
      <c r="B18" s="120" t="s">
        <v>220</v>
      </c>
      <c r="C18" s="224">
        <v>462</v>
      </c>
      <c r="D18" s="114">
        <v>379</v>
      </c>
      <c r="E18" s="114"/>
      <c r="F18" s="224">
        <v>440</v>
      </c>
      <c r="G18" s="114">
        <v>392</v>
      </c>
      <c r="H18" s="224">
        <v>414</v>
      </c>
      <c r="I18" s="114"/>
      <c r="J18" s="114"/>
      <c r="K18" s="114"/>
      <c r="L18" s="183">
        <v>446</v>
      </c>
      <c r="M18" s="132">
        <f>SUM(C18:L18)</f>
        <v>2533</v>
      </c>
      <c r="N18" s="120">
        <v>6</v>
      </c>
      <c r="O18" s="120">
        <v>2</v>
      </c>
      <c r="P18" s="132">
        <v>79</v>
      </c>
      <c r="Q18" s="120">
        <v>2</v>
      </c>
      <c r="R18" s="120">
        <v>1</v>
      </c>
    </row>
    <row r="19" spans="1:20" s="100" customFormat="1" ht="15.75">
      <c r="A19" s="100" t="s">
        <v>13</v>
      </c>
      <c r="B19" s="96" t="s">
        <v>19</v>
      </c>
      <c r="C19" s="232">
        <v>450</v>
      </c>
      <c r="D19" s="96">
        <v>400</v>
      </c>
      <c r="E19" s="96"/>
      <c r="F19" s="232">
        <v>427</v>
      </c>
      <c r="G19" s="96">
        <v>402</v>
      </c>
      <c r="H19" s="96">
        <v>385</v>
      </c>
      <c r="I19" s="96"/>
      <c r="J19" s="96"/>
      <c r="K19" s="96"/>
      <c r="L19" s="191">
        <v>444</v>
      </c>
      <c r="M19" s="99">
        <f>SUM(C19:L19)</f>
        <v>2508</v>
      </c>
      <c r="N19" s="100">
        <v>3</v>
      </c>
      <c r="O19" s="100">
        <v>5</v>
      </c>
      <c r="P19" s="100">
        <v>-39</v>
      </c>
      <c r="Q19" s="100">
        <v>0</v>
      </c>
      <c r="T19" s="100">
        <v>1</v>
      </c>
    </row>
    <row r="20" spans="1:20" s="120" customFormat="1" ht="16.5" thickBot="1">
      <c r="A20" s="120" t="s">
        <v>14</v>
      </c>
      <c r="B20" s="114" t="s">
        <v>257</v>
      </c>
      <c r="C20" s="125"/>
      <c r="D20" s="125">
        <v>388</v>
      </c>
      <c r="E20" s="125"/>
      <c r="F20" s="235">
        <v>432</v>
      </c>
      <c r="G20" s="235">
        <v>415</v>
      </c>
      <c r="H20" s="235">
        <v>418</v>
      </c>
      <c r="I20" s="125"/>
      <c r="J20" s="125"/>
      <c r="K20" s="235">
        <v>444</v>
      </c>
      <c r="L20" s="126"/>
      <c r="M20" s="151">
        <f>SUM(C20:L20)</f>
        <v>2097</v>
      </c>
      <c r="N20" s="152">
        <v>4</v>
      </c>
      <c r="O20" s="152">
        <v>4</v>
      </c>
      <c r="P20" s="152">
        <v>-349</v>
      </c>
      <c r="Q20" s="152">
        <v>1</v>
      </c>
      <c r="R20" s="152"/>
      <c r="S20" s="152">
        <v>1</v>
      </c>
      <c r="T20" s="152"/>
    </row>
    <row r="21" spans="3:20" ht="16.5" thickTop="1">
      <c r="C21" s="6">
        <f aca="true" t="shared" si="1" ref="C21:L21">SUM(C6:C20)</f>
        <v>6123</v>
      </c>
      <c r="D21" s="6">
        <f t="shared" si="1"/>
        <v>3222</v>
      </c>
      <c r="E21" s="6">
        <f t="shared" si="1"/>
        <v>1821</v>
      </c>
      <c r="F21" s="6">
        <f t="shared" si="1"/>
        <v>5877</v>
      </c>
      <c r="G21" s="6">
        <f t="shared" si="1"/>
        <v>5931</v>
      </c>
      <c r="H21" s="6">
        <f t="shared" si="1"/>
        <v>5362</v>
      </c>
      <c r="I21" s="6">
        <f t="shared" si="1"/>
        <v>1652</v>
      </c>
      <c r="J21" s="6">
        <f t="shared" si="1"/>
        <v>393</v>
      </c>
      <c r="K21" s="6">
        <f t="shared" si="1"/>
        <v>3247</v>
      </c>
      <c r="L21" s="6">
        <f t="shared" si="1"/>
        <v>4321</v>
      </c>
      <c r="R21" s="148">
        <f>SUM(R6:R20)</f>
        <v>10</v>
      </c>
      <c r="S21" s="148">
        <f>SUM(S6:S20)</f>
        <v>1</v>
      </c>
      <c r="T21" s="148">
        <f>SUM(T6:T20)</f>
        <v>4</v>
      </c>
    </row>
    <row r="22" spans="2:12" ht="15.75">
      <c r="B22" s="1" t="s">
        <v>194</v>
      </c>
      <c r="C22" s="6">
        <f aca="true" t="shared" si="2" ref="C22:J22">COUNT(C6:C20)</f>
        <v>14</v>
      </c>
      <c r="D22" s="6">
        <f t="shared" si="2"/>
        <v>8</v>
      </c>
      <c r="E22" s="6">
        <f t="shared" si="2"/>
        <v>4</v>
      </c>
      <c r="F22" s="6">
        <f t="shared" si="2"/>
        <v>14</v>
      </c>
      <c r="G22" s="6">
        <f t="shared" si="2"/>
        <v>14</v>
      </c>
      <c r="H22" s="6">
        <f t="shared" si="2"/>
        <v>13</v>
      </c>
      <c r="I22" s="6">
        <f t="shared" si="2"/>
        <v>4</v>
      </c>
      <c r="J22" s="6">
        <f t="shared" si="2"/>
        <v>1</v>
      </c>
      <c r="K22" s="6">
        <f>COUNT(K6:K12)+COUNT(K13:K20)</f>
        <v>7</v>
      </c>
      <c r="L22" s="6">
        <f>COUNT(L6:L13)+COUNT(L14:L20)</f>
        <v>10</v>
      </c>
    </row>
    <row r="23" spans="2:20" ht="33.75" customHeight="1">
      <c r="B23" s="11" t="s">
        <v>112</v>
      </c>
      <c r="C23" s="16">
        <f aca="true" t="shared" si="3" ref="C23:I23">C21/C22</f>
        <v>437.35714285714283</v>
      </c>
      <c r="D23" s="16">
        <f t="shared" si="3"/>
        <v>402.75</v>
      </c>
      <c r="E23" s="16">
        <f t="shared" si="3"/>
        <v>455.25</v>
      </c>
      <c r="F23" s="16">
        <f t="shared" si="3"/>
        <v>419.7857142857143</v>
      </c>
      <c r="G23" s="16">
        <f t="shared" si="3"/>
        <v>423.64285714285717</v>
      </c>
      <c r="H23" s="16">
        <f t="shared" si="3"/>
        <v>412.46153846153845</v>
      </c>
      <c r="I23" s="16">
        <f t="shared" si="3"/>
        <v>413</v>
      </c>
      <c r="J23" s="16">
        <f>J21/J22</f>
        <v>393</v>
      </c>
      <c r="K23" s="16">
        <f>K21/K22</f>
        <v>463.85714285714283</v>
      </c>
      <c r="L23" s="16">
        <f>L21/L22</f>
        <v>432.1</v>
      </c>
      <c r="M23" s="3" t="s">
        <v>27</v>
      </c>
      <c r="N23" s="308" t="s">
        <v>102</v>
      </c>
      <c r="O23" s="308"/>
      <c r="P23" s="3" t="s">
        <v>28</v>
      </c>
      <c r="Q23" s="10" t="s">
        <v>103</v>
      </c>
      <c r="S23" s="40" t="s">
        <v>111</v>
      </c>
      <c r="T23" s="40" t="s">
        <v>192</v>
      </c>
    </row>
    <row r="24" spans="13:20" ht="15.75">
      <c r="M24" s="6">
        <f>SUM(M6:M20)</f>
        <v>37949</v>
      </c>
      <c r="N24" s="1">
        <f>SUM(N6:N20)</f>
        <v>72</v>
      </c>
      <c r="O24" s="1">
        <f>SUM(O6:O20)</f>
        <v>48</v>
      </c>
      <c r="P24" s="1">
        <f>SUM(P6:P20)</f>
        <v>3</v>
      </c>
      <c r="Q24" s="1">
        <f>SUM(Q6:Q20)</f>
        <v>21</v>
      </c>
      <c r="S24" s="2">
        <f>N24-O24</f>
        <v>24</v>
      </c>
      <c r="T24" s="2">
        <f>SUM(R21:T21)</f>
        <v>15</v>
      </c>
    </row>
    <row r="25" spans="3:10" ht="15.75">
      <c r="C25" s="309" t="s">
        <v>33</v>
      </c>
      <c r="D25" s="309"/>
      <c r="F25" s="311" t="s">
        <v>117</v>
      </c>
      <c r="G25" s="311"/>
      <c r="I25" s="310" t="s">
        <v>118</v>
      </c>
      <c r="J25" s="310"/>
    </row>
    <row r="26" spans="1:20" ht="16.5" thickBo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62"/>
      <c r="S26" s="62"/>
      <c r="T26" s="62"/>
    </row>
    <row r="28" spans="2:20" ht="32.25" thickBot="1">
      <c r="B28" s="3" t="s">
        <v>22</v>
      </c>
      <c r="C28" s="8" t="s">
        <v>61</v>
      </c>
      <c r="D28" s="8" t="s">
        <v>62</v>
      </c>
      <c r="E28" s="59" t="s">
        <v>63</v>
      </c>
      <c r="F28" s="59" t="s">
        <v>64</v>
      </c>
      <c r="G28" s="59" t="s">
        <v>65</v>
      </c>
      <c r="H28" s="59" t="s">
        <v>87</v>
      </c>
      <c r="I28" s="59" t="s">
        <v>88</v>
      </c>
      <c r="J28" s="59" t="s">
        <v>254</v>
      </c>
      <c r="K28" s="8" t="s">
        <v>188</v>
      </c>
      <c r="L28" s="173" t="s">
        <v>280</v>
      </c>
      <c r="M28" s="3" t="s">
        <v>27</v>
      </c>
      <c r="N28" s="3" t="s">
        <v>20</v>
      </c>
      <c r="O28" s="3" t="s">
        <v>26</v>
      </c>
      <c r="P28" s="3" t="s">
        <v>28</v>
      </c>
      <c r="Q28" s="10" t="s">
        <v>101</v>
      </c>
      <c r="R28" s="2" t="s">
        <v>162</v>
      </c>
      <c r="S28" s="2" t="s">
        <v>163</v>
      </c>
      <c r="T28" s="2" t="s">
        <v>164</v>
      </c>
    </row>
    <row r="29" spans="1:20" s="115" customFormat="1" ht="15.75">
      <c r="A29" s="219" t="s">
        <v>286</v>
      </c>
      <c r="B29" s="204" t="s">
        <v>178</v>
      </c>
      <c r="C29" s="204">
        <v>421</v>
      </c>
      <c r="D29" s="220"/>
      <c r="E29" s="220"/>
      <c r="F29" s="220">
        <v>419</v>
      </c>
      <c r="G29" s="220">
        <v>399</v>
      </c>
      <c r="H29" s="224">
        <v>452</v>
      </c>
      <c r="I29" s="220">
        <v>420</v>
      </c>
      <c r="J29" s="220"/>
      <c r="K29" s="224">
        <v>458</v>
      </c>
      <c r="L29" s="220"/>
      <c r="M29" s="161">
        <f>SUM(C29:L29)</f>
        <v>2569</v>
      </c>
      <c r="N29" s="219">
        <v>2</v>
      </c>
      <c r="O29" s="219">
        <v>6</v>
      </c>
      <c r="P29" s="219">
        <v>-114</v>
      </c>
      <c r="Q29" s="219">
        <v>0</v>
      </c>
      <c r="T29" s="115">
        <v>1</v>
      </c>
    </row>
    <row r="30" spans="1:20" s="97" customFormat="1" ht="15.75">
      <c r="A30" s="95" t="s">
        <v>287</v>
      </c>
      <c r="B30" s="225" t="s">
        <v>259</v>
      </c>
      <c r="C30" s="227">
        <v>426</v>
      </c>
      <c r="D30" s="232">
        <v>438</v>
      </c>
      <c r="E30" s="225"/>
      <c r="F30" s="225">
        <v>411</v>
      </c>
      <c r="G30" s="225">
        <v>199</v>
      </c>
      <c r="H30" s="232">
        <v>452</v>
      </c>
      <c r="I30" s="225">
        <v>183</v>
      </c>
      <c r="J30" s="225"/>
      <c r="K30" s="232">
        <v>427</v>
      </c>
      <c r="L30" s="225"/>
      <c r="M30" s="238">
        <f aca="true" t="shared" si="4" ref="M30:M43">SUM(C30:L30)</f>
        <v>2536</v>
      </c>
      <c r="N30" s="95">
        <v>3</v>
      </c>
      <c r="O30" s="95">
        <v>5</v>
      </c>
      <c r="P30" s="95">
        <v>-34</v>
      </c>
      <c r="Q30" s="95">
        <v>0</v>
      </c>
      <c r="T30" s="97">
        <v>1</v>
      </c>
    </row>
    <row r="31" spans="1:20" s="115" customFormat="1" ht="15.75">
      <c r="A31" s="219" t="s">
        <v>136</v>
      </c>
      <c r="B31" s="204" t="s">
        <v>18</v>
      </c>
      <c r="C31" s="204">
        <v>409</v>
      </c>
      <c r="D31" s="220">
        <v>389</v>
      </c>
      <c r="E31" s="220"/>
      <c r="F31" s="224">
        <v>448</v>
      </c>
      <c r="G31" s="220"/>
      <c r="H31" s="224">
        <v>432</v>
      </c>
      <c r="I31" s="224">
        <v>443</v>
      </c>
      <c r="J31" s="220"/>
      <c r="K31" s="220"/>
      <c r="L31" s="220">
        <v>399</v>
      </c>
      <c r="M31" s="161">
        <f t="shared" si="4"/>
        <v>2520</v>
      </c>
      <c r="N31" s="219">
        <v>3</v>
      </c>
      <c r="O31" s="219">
        <v>5</v>
      </c>
      <c r="P31" s="219">
        <v>-79</v>
      </c>
      <c r="Q31" s="219">
        <v>0</v>
      </c>
      <c r="T31" s="115">
        <v>1</v>
      </c>
    </row>
    <row r="32" spans="1:19" s="115" customFormat="1" ht="15.75">
      <c r="A32" s="219" t="s">
        <v>137</v>
      </c>
      <c r="B32" s="220" t="s">
        <v>179</v>
      </c>
      <c r="C32" s="204">
        <v>430</v>
      </c>
      <c r="D32" s="220"/>
      <c r="E32" s="220"/>
      <c r="F32" s="224">
        <v>450</v>
      </c>
      <c r="G32" s="220">
        <v>420</v>
      </c>
      <c r="H32" s="224">
        <v>459</v>
      </c>
      <c r="I32" s="220"/>
      <c r="J32" s="220"/>
      <c r="K32" s="220">
        <v>424</v>
      </c>
      <c r="L32" s="220">
        <v>403</v>
      </c>
      <c r="M32" s="161">
        <f t="shared" si="4"/>
        <v>2586</v>
      </c>
      <c r="N32" s="219">
        <v>4</v>
      </c>
      <c r="O32" s="219">
        <v>4</v>
      </c>
      <c r="P32" s="219">
        <v>31</v>
      </c>
      <c r="Q32" s="219">
        <v>1</v>
      </c>
      <c r="S32" s="115">
        <v>1</v>
      </c>
    </row>
    <row r="33" spans="1:20" s="138" customFormat="1" ht="15.75">
      <c r="A33" s="95" t="s">
        <v>138</v>
      </c>
      <c r="B33" s="225" t="s">
        <v>177</v>
      </c>
      <c r="C33" s="225">
        <v>415</v>
      </c>
      <c r="D33" s="225">
        <v>397</v>
      </c>
      <c r="E33" s="225"/>
      <c r="F33" s="232">
        <v>428</v>
      </c>
      <c r="G33" s="225"/>
      <c r="H33" s="225">
        <v>406</v>
      </c>
      <c r="I33" s="232">
        <v>425</v>
      </c>
      <c r="J33" s="225"/>
      <c r="K33" s="232">
        <v>450</v>
      </c>
      <c r="L33" s="225"/>
      <c r="M33" s="239">
        <f t="shared" si="4"/>
        <v>2521</v>
      </c>
      <c r="N33" s="137">
        <v>3</v>
      </c>
      <c r="O33" s="137">
        <v>5</v>
      </c>
      <c r="P33" s="137">
        <v>-1</v>
      </c>
      <c r="Q33" s="137">
        <v>0</v>
      </c>
      <c r="T33" s="138">
        <v>1</v>
      </c>
    </row>
    <row r="34" spans="1:20" s="115" customFormat="1" ht="15.75">
      <c r="A34" s="219" t="s">
        <v>139</v>
      </c>
      <c r="B34" s="204" t="s">
        <v>15</v>
      </c>
      <c r="C34" s="224">
        <v>430</v>
      </c>
      <c r="D34" s="220">
        <v>415</v>
      </c>
      <c r="E34" s="220"/>
      <c r="F34" s="220">
        <v>418</v>
      </c>
      <c r="G34" s="224">
        <v>438</v>
      </c>
      <c r="H34" s="220">
        <v>400</v>
      </c>
      <c r="I34" s="220"/>
      <c r="J34" s="220"/>
      <c r="K34" s="220"/>
      <c r="L34" s="224">
        <v>440</v>
      </c>
      <c r="M34" s="161">
        <f>SUM(C34:L34)</f>
        <v>2541</v>
      </c>
      <c r="N34" s="219">
        <v>3</v>
      </c>
      <c r="O34" s="219">
        <v>5</v>
      </c>
      <c r="P34" s="219">
        <v>-87</v>
      </c>
      <c r="Q34" s="219">
        <v>0</v>
      </c>
      <c r="T34" s="115">
        <v>1</v>
      </c>
    </row>
    <row r="35" spans="1:18" s="97" customFormat="1" ht="15.75">
      <c r="A35" s="95" t="s">
        <v>140</v>
      </c>
      <c r="B35" s="228" t="s">
        <v>218</v>
      </c>
      <c r="C35" s="227"/>
      <c r="D35" s="225">
        <v>382</v>
      </c>
      <c r="E35" s="225"/>
      <c r="F35" s="225">
        <v>425</v>
      </c>
      <c r="G35" s="232">
        <v>468</v>
      </c>
      <c r="H35" s="232">
        <v>462</v>
      </c>
      <c r="I35" s="225">
        <v>419</v>
      </c>
      <c r="J35" s="225"/>
      <c r="K35" s="232">
        <v>481</v>
      </c>
      <c r="L35" s="225"/>
      <c r="M35" s="238">
        <f t="shared" si="4"/>
        <v>2637</v>
      </c>
      <c r="N35" s="95">
        <v>5</v>
      </c>
      <c r="O35" s="95">
        <v>3</v>
      </c>
      <c r="P35" s="95">
        <v>87</v>
      </c>
      <c r="Q35" s="95">
        <v>2</v>
      </c>
      <c r="R35" s="97">
        <v>1</v>
      </c>
    </row>
    <row r="36" spans="1:20" s="115" customFormat="1" ht="15.75">
      <c r="A36" s="219" t="s">
        <v>141</v>
      </c>
      <c r="B36" s="220" t="s">
        <v>258</v>
      </c>
      <c r="C36" s="204"/>
      <c r="D36" s="220">
        <v>392</v>
      </c>
      <c r="E36" s="220"/>
      <c r="F36" s="224">
        <v>427</v>
      </c>
      <c r="G36" s="220">
        <v>405</v>
      </c>
      <c r="H36" s="220">
        <v>411</v>
      </c>
      <c r="I36" s="220">
        <v>391</v>
      </c>
      <c r="J36" s="220"/>
      <c r="K36" s="220"/>
      <c r="L36" s="224">
        <v>450</v>
      </c>
      <c r="M36" s="161">
        <f t="shared" si="4"/>
        <v>2476</v>
      </c>
      <c r="N36" s="219">
        <v>2</v>
      </c>
      <c r="O36" s="219">
        <v>6</v>
      </c>
      <c r="P36" s="219">
        <v>-108</v>
      </c>
      <c r="Q36" s="219">
        <v>0</v>
      </c>
      <c r="T36" s="115">
        <v>1</v>
      </c>
    </row>
    <row r="37" spans="1:18" s="97" customFormat="1" ht="15.75">
      <c r="A37" s="95" t="s">
        <v>142</v>
      </c>
      <c r="B37" s="225" t="s">
        <v>257</v>
      </c>
      <c r="C37" s="227"/>
      <c r="D37" s="225">
        <v>419</v>
      </c>
      <c r="E37" s="225"/>
      <c r="F37" s="232">
        <v>442</v>
      </c>
      <c r="G37" s="225">
        <v>414</v>
      </c>
      <c r="H37" s="232">
        <v>466</v>
      </c>
      <c r="I37" s="232">
        <v>440</v>
      </c>
      <c r="J37" s="225"/>
      <c r="K37" s="232">
        <v>495</v>
      </c>
      <c r="L37" s="225"/>
      <c r="M37" s="238">
        <f t="shared" si="4"/>
        <v>2676</v>
      </c>
      <c r="N37" s="95">
        <v>6</v>
      </c>
      <c r="O37" s="95">
        <v>2</v>
      </c>
      <c r="P37" s="95">
        <v>237</v>
      </c>
      <c r="Q37" s="95">
        <v>2</v>
      </c>
      <c r="R37" s="97">
        <v>1</v>
      </c>
    </row>
    <row r="38" spans="1:18" s="115" customFormat="1" ht="15.75">
      <c r="A38" s="219" t="s">
        <v>143</v>
      </c>
      <c r="B38" s="220" t="s">
        <v>19</v>
      </c>
      <c r="C38" s="204"/>
      <c r="D38" s="220">
        <v>405</v>
      </c>
      <c r="E38" s="220"/>
      <c r="F38" s="224">
        <v>438</v>
      </c>
      <c r="G38" s="220">
        <v>421</v>
      </c>
      <c r="H38" s="224">
        <v>431</v>
      </c>
      <c r="I38" s="224">
        <v>422</v>
      </c>
      <c r="J38" s="220"/>
      <c r="K38" s="220"/>
      <c r="L38" s="220">
        <v>408</v>
      </c>
      <c r="M38" s="161">
        <f t="shared" si="4"/>
        <v>2525</v>
      </c>
      <c r="N38" s="219">
        <v>5</v>
      </c>
      <c r="O38" s="219">
        <v>3</v>
      </c>
      <c r="P38" s="219">
        <v>17</v>
      </c>
      <c r="Q38" s="219">
        <v>2</v>
      </c>
      <c r="R38" s="115">
        <v>1</v>
      </c>
    </row>
    <row r="39" spans="1:18" s="97" customFormat="1" ht="15.75">
      <c r="A39" s="95" t="s">
        <v>144</v>
      </c>
      <c r="B39" s="225" t="s">
        <v>220</v>
      </c>
      <c r="C39" s="227">
        <v>435</v>
      </c>
      <c r="D39" s="225"/>
      <c r="E39" s="225"/>
      <c r="F39" s="232">
        <v>438</v>
      </c>
      <c r="G39" s="232">
        <v>441</v>
      </c>
      <c r="H39" s="232">
        <v>456</v>
      </c>
      <c r="I39" s="232">
        <v>439</v>
      </c>
      <c r="J39" s="225"/>
      <c r="K39" s="232">
        <v>449</v>
      </c>
      <c r="L39" s="225"/>
      <c r="M39" s="238">
        <f t="shared" si="4"/>
        <v>2658</v>
      </c>
      <c r="N39" s="95">
        <v>7</v>
      </c>
      <c r="O39" s="95">
        <v>1</v>
      </c>
      <c r="P39" s="95">
        <v>182</v>
      </c>
      <c r="Q39" s="95">
        <v>2</v>
      </c>
      <c r="R39" s="97">
        <v>1</v>
      </c>
    </row>
    <row r="40" spans="1:20" s="115" customFormat="1" ht="15.75">
      <c r="A40" s="219" t="s">
        <v>145</v>
      </c>
      <c r="B40" s="204" t="s">
        <v>219</v>
      </c>
      <c r="C40" s="204">
        <v>427</v>
      </c>
      <c r="D40" s="220"/>
      <c r="E40" s="220"/>
      <c r="F40" s="220">
        <v>393</v>
      </c>
      <c r="G40" s="220">
        <v>429</v>
      </c>
      <c r="H40" s="220">
        <v>430</v>
      </c>
      <c r="I40" s="224">
        <v>450</v>
      </c>
      <c r="J40" s="220"/>
      <c r="K40" s="224">
        <v>473</v>
      </c>
      <c r="L40" s="220"/>
      <c r="M40" s="161">
        <f t="shared" si="4"/>
        <v>2602</v>
      </c>
      <c r="N40" s="219">
        <v>2</v>
      </c>
      <c r="O40" s="219">
        <v>6</v>
      </c>
      <c r="P40" s="219">
        <v>-37</v>
      </c>
      <c r="Q40" s="219">
        <v>0</v>
      </c>
      <c r="T40" s="115">
        <v>1</v>
      </c>
    </row>
    <row r="41" spans="1:20" s="97" customFormat="1" ht="15.75">
      <c r="A41" s="95" t="s">
        <v>146</v>
      </c>
      <c r="B41" s="227" t="s">
        <v>23</v>
      </c>
      <c r="C41" s="232">
        <v>439</v>
      </c>
      <c r="D41" s="225"/>
      <c r="E41" s="225"/>
      <c r="F41" s="225">
        <v>423</v>
      </c>
      <c r="G41" s="225">
        <v>427</v>
      </c>
      <c r="H41" s="225">
        <v>403</v>
      </c>
      <c r="I41" s="225">
        <v>418</v>
      </c>
      <c r="J41" s="225"/>
      <c r="K41" s="232">
        <v>434</v>
      </c>
      <c r="L41" s="225"/>
      <c r="M41" s="238">
        <f t="shared" si="4"/>
        <v>2544</v>
      </c>
      <c r="N41" s="95">
        <v>2</v>
      </c>
      <c r="O41" s="95">
        <v>6</v>
      </c>
      <c r="P41" s="95">
        <v>-59</v>
      </c>
      <c r="Q41" s="95">
        <v>0</v>
      </c>
      <c r="T41" s="97">
        <v>1</v>
      </c>
    </row>
    <row r="42" spans="1:20" s="115" customFormat="1" ht="15.75">
      <c r="A42" s="219" t="s">
        <v>147</v>
      </c>
      <c r="B42" s="220" t="s">
        <v>180</v>
      </c>
      <c r="C42" s="204">
        <v>396</v>
      </c>
      <c r="D42" s="220"/>
      <c r="E42" s="220"/>
      <c r="F42" s="220">
        <v>378</v>
      </c>
      <c r="G42" s="224">
        <v>402</v>
      </c>
      <c r="H42" s="220">
        <v>388</v>
      </c>
      <c r="I42" s="220"/>
      <c r="J42" s="220"/>
      <c r="K42" s="224">
        <v>411</v>
      </c>
      <c r="L42" s="220">
        <v>382</v>
      </c>
      <c r="M42" s="161">
        <f t="shared" si="4"/>
        <v>2357</v>
      </c>
      <c r="N42" s="219">
        <v>2</v>
      </c>
      <c r="O42" s="219">
        <v>6</v>
      </c>
      <c r="P42" s="219">
        <f>M42-2432</f>
        <v>-75</v>
      </c>
      <c r="Q42" s="219">
        <v>0</v>
      </c>
      <c r="T42" s="115">
        <v>1</v>
      </c>
    </row>
    <row r="43" spans="1:18" s="97" customFormat="1" ht="16.5" thickBot="1">
      <c r="A43" s="95" t="s">
        <v>148</v>
      </c>
      <c r="B43" s="225" t="s">
        <v>17</v>
      </c>
      <c r="C43" s="236">
        <v>452</v>
      </c>
      <c r="D43" s="108">
        <v>408</v>
      </c>
      <c r="E43" s="108"/>
      <c r="F43" s="108">
        <v>397</v>
      </c>
      <c r="G43" s="108">
        <v>438</v>
      </c>
      <c r="H43" s="108"/>
      <c r="I43" s="236">
        <v>481</v>
      </c>
      <c r="J43" s="108"/>
      <c r="K43" s="236">
        <v>457</v>
      </c>
      <c r="L43" s="109"/>
      <c r="M43" s="238">
        <f t="shared" si="4"/>
        <v>2633</v>
      </c>
      <c r="N43" s="95">
        <v>5</v>
      </c>
      <c r="O43" s="95">
        <v>3</v>
      </c>
      <c r="P43" s="95">
        <v>176</v>
      </c>
      <c r="Q43" s="95">
        <v>2</v>
      </c>
      <c r="R43" s="97">
        <v>1</v>
      </c>
    </row>
    <row r="44" spans="3:20" ht="16.5" thickTop="1">
      <c r="C44" s="7">
        <f>SUM(C29:C43)</f>
        <v>4680</v>
      </c>
      <c r="D44" s="7">
        <f>SUM(D29:D43)</f>
        <v>3645</v>
      </c>
      <c r="E44" s="7">
        <f>SUM(E29:E43)</f>
        <v>0</v>
      </c>
      <c r="F44" s="7">
        <f>SUM(F29:F43)</f>
        <v>6335</v>
      </c>
      <c r="G44" s="7">
        <f>SUM(G31:G41)+SUM(G29)+SUM(G42:G43)</f>
        <v>5102</v>
      </c>
      <c r="H44" s="7">
        <f>SUM(H29:H40)+SUM(H41:H43)</f>
        <v>6048</v>
      </c>
      <c r="I44" s="7">
        <f>SUM(I31:I41)+SUM(I29)+SUM(I42:I43)</f>
        <v>4748</v>
      </c>
      <c r="J44" s="7">
        <f>SUM(J31:J41)+SUM(J29)+SUM(J42:J43)</f>
        <v>0</v>
      </c>
      <c r="K44" s="7">
        <f>SUM(K29:K43)</f>
        <v>4959</v>
      </c>
      <c r="L44" s="7">
        <f>SUM(L29:L43)</f>
        <v>2482</v>
      </c>
      <c r="N44" s="1">
        <f>SUM(N29:N43)</f>
        <v>54</v>
      </c>
      <c r="O44" s="1">
        <f>SUM(O29:O43)</f>
        <v>66</v>
      </c>
      <c r="P44" s="1">
        <f>SUM(P29:P43)</f>
        <v>136</v>
      </c>
      <c r="Q44" s="1">
        <f>SUM(Q29:Q43)</f>
        <v>11</v>
      </c>
      <c r="R44" s="1">
        <f>SUM(R29:R43)+R21</f>
        <v>15</v>
      </c>
      <c r="S44" s="1">
        <f>SUM(S29:S43)+S21</f>
        <v>2</v>
      </c>
      <c r="T44" s="1">
        <f>SUM(T29:T43)+T21</f>
        <v>13</v>
      </c>
    </row>
    <row r="45" spans="2:12" ht="15.75">
      <c r="B45" s="36" t="s">
        <v>213</v>
      </c>
      <c r="C45" s="1">
        <f>COUNT(C29:C43)</f>
        <v>11</v>
      </c>
      <c r="D45" s="1">
        <f>COUNT(D29:D43)</f>
        <v>9</v>
      </c>
      <c r="E45" s="1">
        <f>COUNT(E29:E43)</f>
        <v>0</v>
      </c>
      <c r="F45" s="1">
        <f>COUNT(F29:F43)</f>
        <v>15</v>
      </c>
      <c r="G45" s="1">
        <f>COUNT(G31:G41)+COUNT(G29)+COUNT(G42:G43)</f>
        <v>12</v>
      </c>
      <c r="H45" s="1">
        <f>COUNT(H29:H40)+COUNT(H41:H43)</f>
        <v>14</v>
      </c>
      <c r="I45" s="1">
        <f>COUNT(I31:I41)+COUNT(I29)+COUNT(I42:I43)</f>
        <v>11</v>
      </c>
      <c r="J45" s="1">
        <f>COUNT(J31:J41)+COUNT(J29)+COUNT(J42:J43)</f>
        <v>0</v>
      </c>
      <c r="K45" s="1">
        <f>COUNT(K29:K43)</f>
        <v>11</v>
      </c>
      <c r="L45" s="1">
        <f>COUNT(L29:L43)</f>
        <v>6</v>
      </c>
    </row>
    <row r="46" spans="2:20" ht="31.5">
      <c r="B46" s="11" t="s">
        <v>210</v>
      </c>
      <c r="C46" s="16">
        <f aca="true" t="shared" si="5" ref="C46:I46">C44/C45</f>
        <v>425.45454545454544</v>
      </c>
      <c r="D46" s="16">
        <f t="shared" si="5"/>
        <v>405</v>
      </c>
      <c r="E46" s="16" t="e">
        <f t="shared" si="5"/>
        <v>#DIV/0!</v>
      </c>
      <c r="F46" s="16">
        <f t="shared" si="5"/>
        <v>422.3333333333333</v>
      </c>
      <c r="G46" s="16">
        <f t="shared" si="5"/>
        <v>425.1666666666667</v>
      </c>
      <c r="H46" s="16">
        <f t="shared" si="5"/>
        <v>432</v>
      </c>
      <c r="I46" s="16">
        <f t="shared" si="5"/>
        <v>431.6363636363636</v>
      </c>
      <c r="J46" s="16" t="e">
        <f>J44/J45</f>
        <v>#DIV/0!</v>
      </c>
      <c r="K46" s="16">
        <f>K44/K45</f>
        <v>450.8181818181818</v>
      </c>
      <c r="L46" s="16">
        <f>L44/L45</f>
        <v>413.6666666666667</v>
      </c>
      <c r="M46" s="3" t="s">
        <v>27</v>
      </c>
      <c r="N46" s="308" t="s">
        <v>102</v>
      </c>
      <c r="O46" s="308"/>
      <c r="P46" s="3" t="s">
        <v>28</v>
      </c>
      <c r="Q46" s="10" t="s">
        <v>103</v>
      </c>
      <c r="S46" s="40" t="s">
        <v>111</v>
      </c>
      <c r="T46" s="40" t="s">
        <v>192</v>
      </c>
    </row>
    <row r="47" spans="12:20" ht="15.75">
      <c r="L47" s="16"/>
      <c r="M47" s="6">
        <f>SUM(M29:M43)+M24</f>
        <v>76330</v>
      </c>
      <c r="N47" s="6">
        <f>SUM(N29:N43)+N24</f>
        <v>126</v>
      </c>
      <c r="O47" s="6">
        <f>SUM(O29:O43)+O24</f>
        <v>114</v>
      </c>
      <c r="P47" s="6">
        <f>SUM(P29:P43)+P24</f>
        <v>139</v>
      </c>
      <c r="Q47" s="6">
        <f>SUM(Q29:Q43)+Q24</f>
        <v>32</v>
      </c>
      <c r="S47" s="2">
        <f>N47-O47</f>
        <v>12</v>
      </c>
      <c r="T47" s="2">
        <f>SUM(R44:T44)</f>
        <v>30</v>
      </c>
    </row>
    <row r="49" spans="13:14" ht="15.75">
      <c r="M49" s="1" t="s">
        <v>113</v>
      </c>
      <c r="N49" s="18">
        <f>M47/T47</f>
        <v>2544.3333333333335</v>
      </c>
    </row>
  </sheetData>
  <sheetProtection/>
  <mergeCells count="11">
    <mergeCell ref="N23:O23"/>
    <mergeCell ref="I25:J25"/>
    <mergeCell ref="E1:F1"/>
    <mergeCell ref="K2:L2"/>
    <mergeCell ref="H1:I1"/>
    <mergeCell ref="K1:L1"/>
    <mergeCell ref="N46:O46"/>
    <mergeCell ref="F25:G25"/>
    <mergeCell ref="C4:L4"/>
    <mergeCell ref="N4:O4"/>
    <mergeCell ref="C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"/>
  <sheetViews>
    <sheetView zoomScale="90" zoomScaleNormal="90" zoomScalePageLayoutView="0" workbookViewId="0" topLeftCell="B24">
      <selection activeCell="Q44" sqref="Q44"/>
    </sheetView>
  </sheetViews>
  <sheetFormatPr defaultColWidth="9.00390625" defaultRowHeight="12.75"/>
  <cols>
    <col min="1" max="1" width="11.25390625" style="1" bestFit="1" customWidth="1"/>
    <col min="2" max="2" width="20.625" style="1" customWidth="1"/>
    <col min="3" max="3" width="11.625" style="1" customWidth="1"/>
    <col min="4" max="4" width="10.75390625" style="1" customWidth="1"/>
    <col min="5" max="5" width="11.75390625" style="1" customWidth="1"/>
    <col min="6" max="6" width="10.875" style="1" customWidth="1"/>
    <col min="7" max="7" width="10.375" style="1" customWidth="1"/>
    <col min="8" max="8" width="9.75390625" style="1" customWidth="1"/>
    <col min="9" max="9" width="11.00390625" style="1" customWidth="1"/>
    <col min="10" max="10" width="11.875" style="1" customWidth="1"/>
    <col min="11" max="12" width="8.875" style="1" customWidth="1"/>
    <col min="13" max="13" width="11.00390625" style="1" customWidth="1"/>
    <col min="14" max="14" width="17.12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2.375" style="1" customWidth="1"/>
    <col min="19" max="19" width="11.00390625" style="0" customWidth="1"/>
    <col min="20" max="20" width="14.125" style="0" customWidth="1"/>
    <col min="21" max="21" width="12.875" style="0" customWidth="1"/>
  </cols>
  <sheetData>
    <row r="1" spans="1:15" ht="15.75">
      <c r="A1" s="27" t="s">
        <v>125</v>
      </c>
      <c r="B1" s="28"/>
      <c r="C1" s="28" t="s">
        <v>131</v>
      </c>
      <c r="D1" s="28" t="s">
        <v>123</v>
      </c>
      <c r="E1" s="306" t="s">
        <v>127</v>
      </c>
      <c r="F1" s="306"/>
      <c r="H1" s="301" t="s">
        <v>134</v>
      </c>
      <c r="I1" s="301"/>
      <c r="J1" s="11" t="s">
        <v>135</v>
      </c>
      <c r="K1" s="301" t="s">
        <v>111</v>
      </c>
      <c r="L1" s="301"/>
      <c r="M1" s="301"/>
      <c r="N1" s="1" t="s">
        <v>113</v>
      </c>
      <c r="O1" s="18">
        <f>N24/T24</f>
        <v>2594.4</v>
      </c>
    </row>
    <row r="2" spans="8:15" ht="15.75">
      <c r="H2" s="1">
        <f>O24+O44</f>
        <v>133</v>
      </c>
      <c r="I2" s="1">
        <f>P24+P44</f>
        <v>107</v>
      </c>
      <c r="J2" s="20">
        <f>R24+R44</f>
        <v>39</v>
      </c>
      <c r="K2" s="307">
        <f>H2-I2</f>
        <v>26</v>
      </c>
      <c r="L2" s="307"/>
      <c r="M2" s="307"/>
      <c r="N2" s="1" t="s">
        <v>198</v>
      </c>
      <c r="O2" s="6">
        <f>N7+N9+N11+N13+N16+N18+N20+N30+N32+N34+N36+N38+N40+N42+N43</f>
        <v>38268</v>
      </c>
    </row>
    <row r="4" spans="3:21" ht="15.75">
      <c r="C4" s="308" t="s">
        <v>24</v>
      </c>
      <c r="D4" s="308"/>
      <c r="E4" s="308"/>
      <c r="F4" s="308"/>
      <c r="G4" s="308"/>
      <c r="H4" s="308"/>
      <c r="I4" s="308"/>
      <c r="J4" s="308"/>
      <c r="K4" s="3"/>
      <c r="L4" s="3"/>
      <c r="M4" s="3"/>
      <c r="O4" s="308" t="s">
        <v>25</v>
      </c>
      <c r="P4" s="308"/>
      <c r="S4" s="2"/>
      <c r="T4" s="2"/>
      <c r="U4" s="2"/>
    </row>
    <row r="5" spans="2:21" ht="32.25" thickBot="1">
      <c r="B5" s="3" t="s">
        <v>22</v>
      </c>
      <c r="C5" s="8" t="s">
        <v>91</v>
      </c>
      <c r="D5" s="8" t="s">
        <v>93</v>
      </c>
      <c r="E5" s="8" t="s">
        <v>94</v>
      </c>
      <c r="F5" s="72" t="s">
        <v>66</v>
      </c>
      <c r="G5" s="8" t="s">
        <v>92</v>
      </c>
      <c r="H5" s="8" t="s">
        <v>96</v>
      </c>
      <c r="I5" s="8" t="s">
        <v>119</v>
      </c>
      <c r="J5" s="8" t="s">
        <v>159</v>
      </c>
      <c r="K5" s="94" t="s">
        <v>189</v>
      </c>
      <c r="L5" s="72" t="s">
        <v>217</v>
      </c>
      <c r="M5" s="59"/>
      <c r="N5" s="3" t="s">
        <v>27</v>
      </c>
      <c r="O5" s="3" t="s">
        <v>16</v>
      </c>
      <c r="P5" s="3" t="s">
        <v>26</v>
      </c>
      <c r="Q5" s="3" t="s">
        <v>28</v>
      </c>
      <c r="R5" s="10" t="s">
        <v>101</v>
      </c>
      <c r="S5" s="2" t="s">
        <v>162</v>
      </c>
      <c r="T5" s="2" t="s">
        <v>163</v>
      </c>
      <c r="U5" s="2" t="s">
        <v>164</v>
      </c>
    </row>
    <row r="6" spans="1:20" s="97" customFormat="1" ht="15.75">
      <c r="A6" s="95" t="s">
        <v>0</v>
      </c>
      <c r="B6" s="96" t="s">
        <v>19</v>
      </c>
      <c r="D6" s="179">
        <v>450</v>
      </c>
      <c r="E6" s="96">
        <v>416</v>
      </c>
      <c r="F6" s="179">
        <v>463</v>
      </c>
      <c r="G6" s="179">
        <v>429</v>
      </c>
      <c r="H6" s="96"/>
      <c r="I6" s="96"/>
      <c r="J6" s="96">
        <v>212</v>
      </c>
      <c r="K6" s="96">
        <v>427</v>
      </c>
      <c r="L6" s="96">
        <v>183</v>
      </c>
      <c r="M6" s="98"/>
      <c r="N6" s="99">
        <f>SUM(B6:M6)</f>
        <v>2580</v>
      </c>
      <c r="O6" s="100">
        <v>5</v>
      </c>
      <c r="P6" s="100">
        <v>3</v>
      </c>
      <c r="Q6" s="100">
        <v>127</v>
      </c>
      <c r="R6" s="100">
        <v>2</v>
      </c>
      <c r="S6" s="100">
        <v>1</v>
      </c>
      <c r="T6" s="100"/>
    </row>
    <row r="7" spans="1:21" s="115" customFormat="1" ht="15.75">
      <c r="A7" s="113" t="s">
        <v>1</v>
      </c>
      <c r="B7" s="114" t="s">
        <v>257</v>
      </c>
      <c r="D7" s="177">
        <v>420</v>
      </c>
      <c r="E7" s="114">
        <v>405</v>
      </c>
      <c r="F7" s="177">
        <v>456</v>
      </c>
      <c r="G7" s="114">
        <v>384</v>
      </c>
      <c r="H7" s="114"/>
      <c r="I7" s="114"/>
      <c r="J7" s="181">
        <v>212</v>
      </c>
      <c r="K7" s="181">
        <v>417</v>
      </c>
      <c r="L7" s="181">
        <v>208</v>
      </c>
      <c r="M7" s="117"/>
      <c r="N7" s="118">
        <f>SUM(C7:M7)</f>
        <v>2502</v>
      </c>
      <c r="O7" s="113">
        <v>6</v>
      </c>
      <c r="P7" s="113">
        <v>2</v>
      </c>
      <c r="Q7" s="118">
        <v>136</v>
      </c>
      <c r="R7" s="113">
        <v>2</v>
      </c>
      <c r="S7" s="119">
        <v>1</v>
      </c>
      <c r="T7" s="119"/>
      <c r="U7" s="119"/>
    </row>
    <row r="8" spans="1:21" s="97" customFormat="1" ht="15.75">
      <c r="A8" s="95" t="s">
        <v>2</v>
      </c>
      <c r="B8" s="96" t="s">
        <v>258</v>
      </c>
      <c r="D8" s="179">
        <v>426</v>
      </c>
      <c r="E8" s="96">
        <v>422</v>
      </c>
      <c r="F8" s="179">
        <v>451</v>
      </c>
      <c r="G8" s="96">
        <v>409</v>
      </c>
      <c r="H8" s="96"/>
      <c r="I8" s="96"/>
      <c r="J8" s="101"/>
      <c r="K8" s="174">
        <v>462</v>
      </c>
      <c r="L8" s="101">
        <v>423</v>
      </c>
      <c r="M8" s="102"/>
      <c r="N8" s="103">
        <f>SUM(C8:M8)</f>
        <v>2593</v>
      </c>
      <c r="O8" s="95">
        <v>5</v>
      </c>
      <c r="P8" s="95">
        <v>3</v>
      </c>
      <c r="Q8" s="95">
        <v>86</v>
      </c>
      <c r="R8" s="95">
        <v>2</v>
      </c>
      <c r="S8" s="104">
        <v>1</v>
      </c>
      <c r="T8" s="104"/>
      <c r="U8" s="104"/>
    </row>
    <row r="9" spans="1:21" s="115" customFormat="1" ht="15.75">
      <c r="A9" s="113" t="s">
        <v>3</v>
      </c>
      <c r="B9" s="116" t="s">
        <v>218</v>
      </c>
      <c r="D9" s="177">
        <v>459</v>
      </c>
      <c r="E9" s="114">
        <v>408</v>
      </c>
      <c r="F9" s="177">
        <v>443</v>
      </c>
      <c r="G9" s="114">
        <v>406</v>
      </c>
      <c r="H9" s="114"/>
      <c r="I9" s="114"/>
      <c r="J9" s="181">
        <v>435</v>
      </c>
      <c r="K9" s="181">
        <v>450</v>
      </c>
      <c r="L9" s="116"/>
      <c r="M9" s="117"/>
      <c r="N9" s="118">
        <f>SUM(C9:M9)</f>
        <v>2601</v>
      </c>
      <c r="O9" s="113">
        <v>6</v>
      </c>
      <c r="P9" s="113">
        <v>2</v>
      </c>
      <c r="Q9" s="113">
        <v>156</v>
      </c>
      <c r="R9" s="113">
        <v>2</v>
      </c>
      <c r="S9" s="119">
        <v>1</v>
      </c>
      <c r="T9" s="119"/>
      <c r="U9" s="119"/>
    </row>
    <row r="10" spans="1:21" s="97" customFormat="1" ht="15.75">
      <c r="A10" s="95" t="s">
        <v>4</v>
      </c>
      <c r="B10" s="100" t="s">
        <v>15</v>
      </c>
      <c r="D10" s="179">
        <v>424</v>
      </c>
      <c r="E10" s="179">
        <v>420</v>
      </c>
      <c r="F10" s="96"/>
      <c r="G10" s="96">
        <v>401</v>
      </c>
      <c r="H10" s="96"/>
      <c r="I10" s="96"/>
      <c r="J10" s="174">
        <v>420</v>
      </c>
      <c r="K10" s="101">
        <v>403</v>
      </c>
      <c r="L10" s="101">
        <v>410</v>
      </c>
      <c r="M10" s="102"/>
      <c r="N10" s="103">
        <f>SUM(C10:M10)</f>
        <v>2478</v>
      </c>
      <c r="O10" s="95">
        <v>3</v>
      </c>
      <c r="P10" s="95">
        <v>5</v>
      </c>
      <c r="Q10" s="103">
        <v>-38</v>
      </c>
      <c r="R10" s="95">
        <v>0</v>
      </c>
      <c r="S10" s="104"/>
      <c r="T10" s="104"/>
      <c r="U10" s="104">
        <v>1</v>
      </c>
    </row>
    <row r="11" spans="1:21" s="115" customFormat="1" ht="15.75">
      <c r="A11" s="113" t="s">
        <v>5</v>
      </c>
      <c r="B11" s="114" t="s">
        <v>177</v>
      </c>
      <c r="D11" s="177">
        <v>447</v>
      </c>
      <c r="E11" s="177">
        <v>424</v>
      </c>
      <c r="F11" s="177">
        <v>454</v>
      </c>
      <c r="G11" s="114">
        <v>392</v>
      </c>
      <c r="H11" s="114"/>
      <c r="I11" s="114"/>
      <c r="J11" s="181">
        <v>440</v>
      </c>
      <c r="K11" s="116"/>
      <c r="L11" s="116">
        <v>388</v>
      </c>
      <c r="M11" s="117"/>
      <c r="N11" s="118">
        <f>SUM(B11:M11)</f>
        <v>2545</v>
      </c>
      <c r="O11" s="113">
        <v>4</v>
      </c>
      <c r="P11" s="113">
        <v>4</v>
      </c>
      <c r="Q11" s="113">
        <v>-10</v>
      </c>
      <c r="R11" s="113">
        <v>1</v>
      </c>
      <c r="S11" s="119"/>
      <c r="T11" s="119">
        <v>1</v>
      </c>
      <c r="U11" s="119"/>
    </row>
    <row r="12" spans="1:21" s="97" customFormat="1" ht="15.75">
      <c r="A12" s="95" t="s">
        <v>6</v>
      </c>
      <c r="B12" s="96" t="s">
        <v>179</v>
      </c>
      <c r="D12" s="179">
        <v>478</v>
      </c>
      <c r="E12" s="96">
        <v>420</v>
      </c>
      <c r="F12" s="179">
        <v>450</v>
      </c>
      <c r="G12" s="96">
        <v>421</v>
      </c>
      <c r="H12" s="96"/>
      <c r="I12" s="96"/>
      <c r="J12" s="101">
        <v>424</v>
      </c>
      <c r="K12" s="174">
        <v>435</v>
      </c>
      <c r="L12" s="101"/>
      <c r="M12" s="102"/>
      <c r="N12" s="103">
        <f aca="true" t="shared" si="0" ref="N12:N18">SUM(C12:M12)</f>
        <v>2628</v>
      </c>
      <c r="O12" s="95">
        <v>5</v>
      </c>
      <c r="P12" s="95">
        <v>3</v>
      </c>
      <c r="Q12" s="95">
        <v>9</v>
      </c>
      <c r="R12" s="95">
        <v>2</v>
      </c>
      <c r="S12" s="104">
        <v>1</v>
      </c>
      <c r="T12" s="104"/>
      <c r="U12" s="104"/>
    </row>
    <row r="13" spans="1:21" s="115" customFormat="1" ht="15.75">
      <c r="A13" s="113" t="s">
        <v>7</v>
      </c>
      <c r="B13" s="114" t="s">
        <v>20</v>
      </c>
      <c r="D13" s="114">
        <v>416</v>
      </c>
      <c r="E13" s="114">
        <v>412</v>
      </c>
      <c r="F13" s="114">
        <v>426</v>
      </c>
      <c r="G13" s="114">
        <v>401</v>
      </c>
      <c r="H13" s="114"/>
      <c r="I13" s="114"/>
      <c r="J13" s="181">
        <v>448</v>
      </c>
      <c r="K13" s="181">
        <v>454</v>
      </c>
      <c r="L13" s="116"/>
      <c r="M13" s="117"/>
      <c r="N13" s="118">
        <f t="shared" si="0"/>
        <v>2557</v>
      </c>
      <c r="O13" s="113">
        <v>2</v>
      </c>
      <c r="P13" s="113">
        <v>6</v>
      </c>
      <c r="Q13" s="113">
        <v>-170</v>
      </c>
      <c r="R13" s="113">
        <v>0</v>
      </c>
      <c r="S13" s="119"/>
      <c r="T13" s="119"/>
      <c r="U13" s="119">
        <v>1</v>
      </c>
    </row>
    <row r="14" spans="1:21" s="97" customFormat="1" ht="15.75">
      <c r="A14" s="95" t="s">
        <v>8</v>
      </c>
      <c r="B14" s="96" t="s">
        <v>259</v>
      </c>
      <c r="D14" s="179">
        <v>474</v>
      </c>
      <c r="E14" s="96">
        <v>414</v>
      </c>
      <c r="F14" s="179">
        <v>474</v>
      </c>
      <c r="G14" s="179">
        <v>439</v>
      </c>
      <c r="H14" s="96"/>
      <c r="I14" s="96"/>
      <c r="J14" s="174">
        <v>438</v>
      </c>
      <c r="K14" s="174">
        <v>469</v>
      </c>
      <c r="L14" s="101"/>
      <c r="M14" s="102"/>
      <c r="N14" s="103">
        <f t="shared" si="0"/>
        <v>2708</v>
      </c>
      <c r="O14" s="95">
        <v>7</v>
      </c>
      <c r="P14" s="95">
        <v>1</v>
      </c>
      <c r="Q14" s="103">
        <v>136</v>
      </c>
      <c r="R14" s="95">
        <v>2</v>
      </c>
      <c r="S14" s="104">
        <v>1</v>
      </c>
      <c r="T14" s="104"/>
      <c r="U14" s="104"/>
    </row>
    <row r="15" spans="1:21" s="97" customFormat="1" ht="15.75">
      <c r="A15" s="95" t="s">
        <v>9</v>
      </c>
      <c r="B15" s="100" t="s">
        <v>18</v>
      </c>
      <c r="D15" s="179">
        <v>469</v>
      </c>
      <c r="E15" s="96">
        <v>408</v>
      </c>
      <c r="F15" s="179">
        <v>449</v>
      </c>
      <c r="G15" s="179">
        <v>428</v>
      </c>
      <c r="H15" s="96"/>
      <c r="I15" s="96"/>
      <c r="J15" s="101"/>
      <c r="K15" s="174">
        <v>449</v>
      </c>
      <c r="L15" s="101">
        <v>346</v>
      </c>
      <c r="M15" s="102"/>
      <c r="N15" s="103">
        <f t="shared" si="0"/>
        <v>2549</v>
      </c>
      <c r="O15" s="95">
        <v>6</v>
      </c>
      <c r="P15" s="95">
        <v>2</v>
      </c>
      <c r="Q15" s="103">
        <v>17</v>
      </c>
      <c r="R15" s="95">
        <v>2</v>
      </c>
      <c r="S15" s="104">
        <v>1</v>
      </c>
      <c r="T15" s="104"/>
      <c r="U15" s="104"/>
    </row>
    <row r="16" spans="1:21" s="115" customFormat="1" ht="15.75">
      <c r="A16" s="113" t="s">
        <v>10</v>
      </c>
      <c r="B16" s="120" t="s">
        <v>17</v>
      </c>
      <c r="C16" s="120">
        <v>394</v>
      </c>
      <c r="D16" s="224">
        <v>451</v>
      </c>
      <c r="E16" s="224">
        <v>441</v>
      </c>
      <c r="F16" s="114">
        <v>435</v>
      </c>
      <c r="G16" s="224">
        <v>440</v>
      </c>
      <c r="H16" s="114"/>
      <c r="I16" s="114"/>
      <c r="J16" s="116"/>
      <c r="K16" s="181">
        <v>451</v>
      </c>
      <c r="L16" s="116"/>
      <c r="M16" s="117"/>
      <c r="N16" s="118">
        <f t="shared" si="0"/>
        <v>2612</v>
      </c>
      <c r="O16" s="113">
        <v>6</v>
      </c>
      <c r="P16" s="113">
        <v>2</v>
      </c>
      <c r="Q16" s="118">
        <v>39</v>
      </c>
      <c r="R16" s="113">
        <v>2</v>
      </c>
      <c r="S16" s="119">
        <v>1</v>
      </c>
      <c r="T16" s="119"/>
      <c r="U16" s="119"/>
    </row>
    <row r="17" spans="1:21" s="97" customFormat="1" ht="15.75">
      <c r="A17" s="95" t="s">
        <v>11</v>
      </c>
      <c r="B17" s="96" t="s">
        <v>180</v>
      </c>
      <c r="D17" s="96">
        <v>417</v>
      </c>
      <c r="E17" s="96">
        <v>396</v>
      </c>
      <c r="F17" s="232">
        <v>469</v>
      </c>
      <c r="G17" s="96">
        <v>396</v>
      </c>
      <c r="H17" s="96"/>
      <c r="I17" s="96"/>
      <c r="J17" s="101"/>
      <c r="K17" s="230">
        <v>478</v>
      </c>
      <c r="L17" s="230">
        <v>421</v>
      </c>
      <c r="M17" s="102"/>
      <c r="N17" s="103">
        <f t="shared" si="0"/>
        <v>2577</v>
      </c>
      <c r="O17" s="95">
        <v>5</v>
      </c>
      <c r="P17" s="95">
        <v>3</v>
      </c>
      <c r="Q17" s="103">
        <v>17</v>
      </c>
      <c r="R17" s="95">
        <v>2</v>
      </c>
      <c r="S17" s="104">
        <v>1</v>
      </c>
      <c r="T17" s="104"/>
      <c r="U17" s="104"/>
    </row>
    <row r="18" spans="1:21" s="115" customFormat="1" ht="15.75">
      <c r="A18" s="113" t="s">
        <v>12</v>
      </c>
      <c r="B18" s="120" t="s">
        <v>23</v>
      </c>
      <c r="C18" s="116">
        <v>404</v>
      </c>
      <c r="D18" s="116">
        <v>416</v>
      </c>
      <c r="E18" s="116">
        <v>417</v>
      </c>
      <c r="F18" s="181">
        <v>463</v>
      </c>
      <c r="G18" s="116">
        <v>420</v>
      </c>
      <c r="H18" s="116"/>
      <c r="I18" s="116"/>
      <c r="J18" s="116"/>
      <c r="K18" s="181">
        <v>490</v>
      </c>
      <c r="L18" s="116"/>
      <c r="M18" s="117"/>
      <c r="N18" s="118">
        <f t="shared" si="0"/>
        <v>2610</v>
      </c>
      <c r="O18" s="121">
        <v>4</v>
      </c>
      <c r="P18" s="121">
        <v>4</v>
      </c>
      <c r="Q18" s="122">
        <v>28</v>
      </c>
      <c r="R18" s="121">
        <v>1</v>
      </c>
      <c r="S18" s="123"/>
      <c r="T18" s="123">
        <v>1</v>
      </c>
      <c r="U18" s="123"/>
    </row>
    <row r="19" spans="1:21" s="97" customFormat="1" ht="15.75">
      <c r="A19" s="95" t="s">
        <v>13</v>
      </c>
      <c r="B19" s="100" t="s">
        <v>219</v>
      </c>
      <c r="D19" s="96">
        <v>418</v>
      </c>
      <c r="E19" s="232">
        <v>450</v>
      </c>
      <c r="F19" s="232">
        <v>465</v>
      </c>
      <c r="G19" s="96">
        <v>435</v>
      </c>
      <c r="H19" s="96"/>
      <c r="I19" s="96"/>
      <c r="J19" s="230">
        <v>447</v>
      </c>
      <c r="K19" s="230">
        <v>466</v>
      </c>
      <c r="L19" s="101"/>
      <c r="M19" s="102"/>
      <c r="N19" s="103">
        <f>SUM(C19:M19)</f>
        <v>2681</v>
      </c>
      <c r="O19" s="95">
        <v>6</v>
      </c>
      <c r="P19" s="95">
        <v>2</v>
      </c>
      <c r="Q19" s="103">
        <v>187</v>
      </c>
      <c r="R19" s="95">
        <v>2</v>
      </c>
      <c r="S19" s="104">
        <v>1</v>
      </c>
      <c r="T19" s="104"/>
      <c r="U19" s="104"/>
    </row>
    <row r="20" spans="1:21" s="115" customFormat="1" ht="16.5" thickBot="1">
      <c r="A20" s="113" t="s">
        <v>14</v>
      </c>
      <c r="B20" s="120" t="s">
        <v>220</v>
      </c>
      <c r="C20" s="124">
        <v>191</v>
      </c>
      <c r="D20" s="235">
        <v>448</v>
      </c>
      <c r="E20" s="125">
        <v>437</v>
      </c>
      <c r="F20" s="235">
        <v>513</v>
      </c>
      <c r="G20" s="235">
        <v>449</v>
      </c>
      <c r="H20" s="125"/>
      <c r="I20" s="125"/>
      <c r="J20" s="125">
        <v>203</v>
      </c>
      <c r="K20" s="235">
        <v>454</v>
      </c>
      <c r="L20" s="125"/>
      <c r="M20" s="126"/>
      <c r="N20" s="127">
        <f>SUM(C20:M20)</f>
        <v>2695</v>
      </c>
      <c r="O20" s="128">
        <v>6</v>
      </c>
      <c r="P20" s="128">
        <v>2</v>
      </c>
      <c r="Q20" s="129">
        <f>N20-2590</f>
        <v>105</v>
      </c>
      <c r="R20" s="128">
        <v>2</v>
      </c>
      <c r="S20" s="130">
        <v>1</v>
      </c>
      <c r="T20" s="130"/>
      <c r="U20" s="130"/>
    </row>
    <row r="21" spans="3:21" ht="16.5" thickTop="1">
      <c r="C21" s="6">
        <f>SUM(C6:C19)</f>
        <v>798</v>
      </c>
      <c r="D21" s="6">
        <f aca="true" t="shared" si="1" ref="D21:M21">SUM(D6:D20)</f>
        <v>6613</v>
      </c>
      <c r="E21" s="6">
        <f t="shared" si="1"/>
        <v>6290</v>
      </c>
      <c r="F21" s="6">
        <f t="shared" si="1"/>
        <v>6411</v>
      </c>
      <c r="G21" s="6">
        <f t="shared" si="1"/>
        <v>6250</v>
      </c>
      <c r="H21" s="6">
        <f t="shared" si="1"/>
        <v>0</v>
      </c>
      <c r="I21" s="6">
        <f t="shared" si="1"/>
        <v>0</v>
      </c>
      <c r="J21" s="6">
        <f>SUM(J8:J19)</f>
        <v>3052</v>
      </c>
      <c r="K21" s="6">
        <f t="shared" si="1"/>
        <v>6305</v>
      </c>
      <c r="L21" s="6">
        <f>SUM(L8:L20)</f>
        <v>1988</v>
      </c>
      <c r="M21" s="6">
        <f t="shared" si="1"/>
        <v>0</v>
      </c>
      <c r="S21" s="2">
        <f>SUM(S6:S20)</f>
        <v>11</v>
      </c>
      <c r="T21" s="2">
        <f>SUM(T6:T20)</f>
        <v>2</v>
      </c>
      <c r="U21" s="2">
        <f>SUM(U6:U20)</f>
        <v>2</v>
      </c>
    </row>
    <row r="22" spans="2:21" ht="15.75">
      <c r="B22" s="1" t="s">
        <v>194</v>
      </c>
      <c r="C22" s="6">
        <f>COUNT(C7:C19)</f>
        <v>2</v>
      </c>
      <c r="D22" s="6">
        <f>COUNT(D6:D20)</f>
        <v>15</v>
      </c>
      <c r="E22" s="6">
        <f aca="true" t="shared" si="2" ref="E22:K22">COUNT(E6:E20)</f>
        <v>15</v>
      </c>
      <c r="F22" s="6">
        <f t="shared" si="2"/>
        <v>14</v>
      </c>
      <c r="G22" s="6">
        <f t="shared" si="2"/>
        <v>15</v>
      </c>
      <c r="H22" s="6">
        <f t="shared" si="2"/>
        <v>0</v>
      </c>
      <c r="I22" s="6">
        <f t="shared" si="2"/>
        <v>0</v>
      </c>
      <c r="J22" s="6">
        <f>COUNT(J8:J19)</f>
        <v>7</v>
      </c>
      <c r="K22" s="6">
        <f t="shared" si="2"/>
        <v>14</v>
      </c>
      <c r="L22" s="6">
        <f>COUNT(L8:L20)</f>
        <v>5</v>
      </c>
      <c r="M22" s="6">
        <f>COUNT(M7:M20)</f>
        <v>0</v>
      </c>
      <c r="S22" s="2"/>
      <c r="T22" s="2"/>
      <c r="U22" s="2"/>
    </row>
    <row r="23" spans="2:20" ht="33" customHeight="1">
      <c r="B23" s="11" t="s">
        <v>112</v>
      </c>
      <c r="C23" s="16">
        <f>C21/C22</f>
        <v>399</v>
      </c>
      <c r="D23" s="16">
        <f>D21/D22</f>
        <v>440.8666666666667</v>
      </c>
      <c r="E23" s="16">
        <f>E21/E22</f>
        <v>419.3333333333333</v>
      </c>
      <c r="F23" s="16">
        <f>F21/F22</f>
        <v>457.92857142857144</v>
      </c>
      <c r="G23" s="16">
        <f>AVERAGE(G6:G20)</f>
        <v>416.6666666666667</v>
      </c>
      <c r="H23" s="16"/>
      <c r="I23" s="16"/>
      <c r="J23" s="16">
        <f>J21/J22</f>
        <v>436</v>
      </c>
      <c r="K23" s="16">
        <f>AVERAGE(K6:K20)</f>
        <v>450.35714285714283</v>
      </c>
      <c r="L23" s="16">
        <f>L21/L22</f>
        <v>397.6</v>
      </c>
      <c r="M23" s="16"/>
      <c r="N23" s="3" t="s">
        <v>27</v>
      </c>
      <c r="O23" s="308" t="s">
        <v>102</v>
      </c>
      <c r="P23" s="308"/>
      <c r="Q23" s="3" t="s">
        <v>28</v>
      </c>
      <c r="R23" s="10" t="s">
        <v>103</v>
      </c>
      <c r="S23" s="40" t="s">
        <v>111</v>
      </c>
      <c r="T23" s="40" t="s">
        <v>192</v>
      </c>
    </row>
    <row r="24" spans="14:20" ht="15.75">
      <c r="N24" s="6">
        <f>SUM(N6:N20)</f>
        <v>38916</v>
      </c>
      <c r="O24" s="1">
        <f>SUM(O6:O20)</f>
        <v>76</v>
      </c>
      <c r="P24" s="1">
        <f>SUM(P6:P20)</f>
        <v>44</v>
      </c>
      <c r="Q24" s="1">
        <f>SUM(Q6:Q20)</f>
        <v>825</v>
      </c>
      <c r="R24" s="1">
        <f>SUM(R6:R20)</f>
        <v>24</v>
      </c>
      <c r="S24" s="2">
        <f>O24-P24</f>
        <v>32</v>
      </c>
      <c r="T24" s="2">
        <f>SUM(S21:U21)</f>
        <v>15</v>
      </c>
    </row>
    <row r="25" spans="3:10" ht="15.75">
      <c r="C25" s="309" t="s">
        <v>33</v>
      </c>
      <c r="D25" s="309"/>
      <c r="F25" s="311" t="s">
        <v>117</v>
      </c>
      <c r="G25" s="311"/>
      <c r="I25" s="310" t="s">
        <v>118</v>
      </c>
      <c r="J25" s="310"/>
    </row>
    <row r="26" spans="1:22" ht="16.5" thickBot="1">
      <c r="A26" s="39"/>
      <c r="B26" s="39"/>
      <c r="C26" s="63"/>
      <c r="D26" s="63"/>
      <c r="E26" s="39"/>
      <c r="F26" s="64"/>
      <c r="G26" s="64"/>
      <c r="H26" s="39"/>
      <c r="I26" s="65"/>
      <c r="J26" s="65"/>
      <c r="K26" s="39"/>
      <c r="L26" s="39"/>
      <c r="M26" s="39"/>
      <c r="N26" s="39"/>
      <c r="O26" s="39"/>
      <c r="P26" s="39"/>
      <c r="Q26" s="39"/>
      <c r="R26" s="39"/>
      <c r="S26" s="62"/>
      <c r="T26" s="62"/>
      <c r="U26" s="62"/>
      <c r="V26" s="62"/>
    </row>
    <row r="28" spans="2:21" ht="32.25" thickBot="1">
      <c r="B28" s="3" t="s">
        <v>22</v>
      </c>
      <c r="C28" s="8" t="s">
        <v>91</v>
      </c>
      <c r="D28" s="8" t="s">
        <v>93</v>
      </c>
      <c r="E28" s="8" t="s">
        <v>94</v>
      </c>
      <c r="F28" s="72" t="s">
        <v>66</v>
      </c>
      <c r="G28" s="8" t="s">
        <v>92</v>
      </c>
      <c r="H28" s="8" t="s">
        <v>96</v>
      </c>
      <c r="I28" s="8" t="s">
        <v>119</v>
      </c>
      <c r="J28" s="8" t="s">
        <v>159</v>
      </c>
      <c r="K28" s="94" t="s">
        <v>189</v>
      </c>
      <c r="L28" s="8" t="s">
        <v>109</v>
      </c>
      <c r="M28" s="72" t="s">
        <v>217</v>
      </c>
      <c r="N28" s="3" t="s">
        <v>27</v>
      </c>
      <c r="O28" s="3" t="s">
        <v>16</v>
      </c>
      <c r="P28" s="3" t="s">
        <v>26</v>
      </c>
      <c r="Q28" s="3" t="s">
        <v>28</v>
      </c>
      <c r="R28" s="10" t="s">
        <v>101</v>
      </c>
      <c r="S28" s="2" t="s">
        <v>162</v>
      </c>
      <c r="T28" s="2" t="s">
        <v>163</v>
      </c>
      <c r="U28" s="2" t="s">
        <v>164</v>
      </c>
    </row>
    <row r="29" spans="1:19" s="97" customFormat="1" ht="15.75">
      <c r="A29" s="95" t="s">
        <v>286</v>
      </c>
      <c r="B29" s="227" t="s">
        <v>20</v>
      </c>
      <c r="C29" s="227"/>
      <c r="D29" s="225">
        <v>422</v>
      </c>
      <c r="E29" s="232">
        <v>429</v>
      </c>
      <c r="F29" s="232">
        <v>517</v>
      </c>
      <c r="G29" s="232">
        <v>438</v>
      </c>
      <c r="H29" s="225"/>
      <c r="I29" s="225"/>
      <c r="J29" s="225"/>
      <c r="K29" s="232">
        <v>467</v>
      </c>
      <c r="L29" s="225">
        <v>410</v>
      </c>
      <c r="M29" s="225"/>
      <c r="N29" s="238">
        <f>SUM(B29:M29)</f>
        <v>2683</v>
      </c>
      <c r="O29" s="95">
        <v>6</v>
      </c>
      <c r="P29" s="95">
        <v>2</v>
      </c>
      <c r="Q29" s="95">
        <f>N29-2569</f>
        <v>114</v>
      </c>
      <c r="R29" s="95">
        <v>2</v>
      </c>
      <c r="S29" s="97">
        <v>1</v>
      </c>
    </row>
    <row r="30" spans="1:21" s="115" customFormat="1" ht="15.75">
      <c r="A30" s="219" t="s">
        <v>287</v>
      </c>
      <c r="B30" s="220" t="s">
        <v>179</v>
      </c>
      <c r="C30" s="204"/>
      <c r="D30" s="220">
        <v>406</v>
      </c>
      <c r="E30" s="224">
        <v>420</v>
      </c>
      <c r="F30" s="220">
        <v>390</v>
      </c>
      <c r="G30" s="220">
        <v>387</v>
      </c>
      <c r="H30" s="220"/>
      <c r="I30" s="220"/>
      <c r="J30" s="220"/>
      <c r="K30" s="220">
        <v>410</v>
      </c>
      <c r="L30" s="224">
        <v>423</v>
      </c>
      <c r="M30" s="220"/>
      <c r="N30" s="161">
        <f aca="true" t="shared" si="3" ref="N30:N43">SUM(C30:M30)</f>
        <v>2436</v>
      </c>
      <c r="O30" s="219">
        <v>2</v>
      </c>
      <c r="P30" s="219">
        <v>6</v>
      </c>
      <c r="Q30" s="219">
        <f>N30-2514</f>
        <v>-78</v>
      </c>
      <c r="R30" s="219">
        <v>0</v>
      </c>
      <c r="U30" s="115">
        <v>1</v>
      </c>
    </row>
    <row r="31" spans="1:21" s="97" customFormat="1" ht="15.75">
      <c r="A31" s="95" t="s">
        <v>136</v>
      </c>
      <c r="B31" s="225" t="s">
        <v>177</v>
      </c>
      <c r="C31" s="227"/>
      <c r="D31" s="232">
        <v>442</v>
      </c>
      <c r="E31" s="225">
        <v>431</v>
      </c>
      <c r="F31" s="225">
        <v>431</v>
      </c>
      <c r="G31" s="225">
        <v>404</v>
      </c>
      <c r="H31" s="225"/>
      <c r="I31" s="225"/>
      <c r="J31" s="225"/>
      <c r="K31" s="232">
        <v>453</v>
      </c>
      <c r="L31" s="225">
        <v>416</v>
      </c>
      <c r="M31" s="225"/>
      <c r="N31" s="238">
        <f t="shared" si="3"/>
        <v>2577</v>
      </c>
      <c r="O31" s="95">
        <v>2</v>
      </c>
      <c r="P31" s="95">
        <v>6</v>
      </c>
      <c r="Q31" s="95">
        <v>-2</v>
      </c>
      <c r="R31" s="95">
        <v>0</v>
      </c>
      <c r="U31" s="97">
        <v>1</v>
      </c>
    </row>
    <row r="32" spans="1:19" s="115" customFormat="1" ht="15.75">
      <c r="A32" s="219" t="s">
        <v>137</v>
      </c>
      <c r="B32" s="204" t="s">
        <v>15</v>
      </c>
      <c r="C32" s="204"/>
      <c r="D32" s="224">
        <v>440</v>
      </c>
      <c r="E32" s="220">
        <v>423</v>
      </c>
      <c r="F32" s="224">
        <v>431</v>
      </c>
      <c r="G32" s="220">
        <v>400</v>
      </c>
      <c r="H32" s="220"/>
      <c r="I32" s="220"/>
      <c r="J32" s="220"/>
      <c r="K32" s="224">
        <v>433</v>
      </c>
      <c r="L32" s="220">
        <v>404</v>
      </c>
      <c r="M32" s="220"/>
      <c r="N32" s="161">
        <f t="shared" si="3"/>
        <v>2531</v>
      </c>
      <c r="O32" s="219">
        <v>5</v>
      </c>
      <c r="P32" s="219">
        <v>3</v>
      </c>
      <c r="Q32" s="219">
        <v>6</v>
      </c>
      <c r="R32" s="219">
        <v>2</v>
      </c>
      <c r="S32" s="115">
        <v>1</v>
      </c>
    </row>
    <row r="33" spans="1:20" s="97" customFormat="1" ht="15.75">
      <c r="A33" s="95" t="s">
        <v>138</v>
      </c>
      <c r="B33" s="228" t="s">
        <v>218</v>
      </c>
      <c r="C33" s="227"/>
      <c r="D33" s="230">
        <v>469</v>
      </c>
      <c r="E33" s="228">
        <v>422</v>
      </c>
      <c r="F33" s="228">
        <v>450</v>
      </c>
      <c r="G33" s="230">
        <v>435</v>
      </c>
      <c r="H33" s="228"/>
      <c r="I33" s="228"/>
      <c r="J33" s="228"/>
      <c r="K33" s="230">
        <v>473</v>
      </c>
      <c r="L33" s="228"/>
      <c r="M33" s="229">
        <v>402</v>
      </c>
      <c r="N33" s="238">
        <f t="shared" si="3"/>
        <v>2651</v>
      </c>
      <c r="O33" s="95">
        <v>4</v>
      </c>
      <c r="P33" s="95">
        <v>4</v>
      </c>
      <c r="Q33" s="95">
        <v>-19</v>
      </c>
      <c r="R33" s="95">
        <v>1</v>
      </c>
      <c r="T33" s="97">
        <v>1</v>
      </c>
    </row>
    <row r="34" spans="1:19" s="115" customFormat="1" ht="15.75">
      <c r="A34" s="219" t="s">
        <v>139</v>
      </c>
      <c r="B34" s="220" t="s">
        <v>258</v>
      </c>
      <c r="C34" s="204">
        <v>403</v>
      </c>
      <c r="D34" s="220">
        <v>402</v>
      </c>
      <c r="E34" s="224">
        <v>428</v>
      </c>
      <c r="F34" s="220">
        <v>413</v>
      </c>
      <c r="G34" s="220"/>
      <c r="H34" s="220"/>
      <c r="I34" s="220"/>
      <c r="J34" s="220"/>
      <c r="K34" s="224">
        <v>446</v>
      </c>
      <c r="L34" s="220"/>
      <c r="M34" s="224">
        <v>425</v>
      </c>
      <c r="N34" s="161">
        <f t="shared" si="3"/>
        <v>2517</v>
      </c>
      <c r="O34" s="219">
        <v>5</v>
      </c>
      <c r="P34" s="219">
        <v>3</v>
      </c>
      <c r="Q34" s="219">
        <v>26</v>
      </c>
      <c r="R34" s="219">
        <v>2</v>
      </c>
      <c r="S34" s="115">
        <v>1</v>
      </c>
    </row>
    <row r="35" spans="1:21" s="97" customFormat="1" ht="15.75">
      <c r="A35" s="95" t="s">
        <v>140</v>
      </c>
      <c r="B35" s="225" t="s">
        <v>257</v>
      </c>
      <c r="C35" s="225">
        <v>392</v>
      </c>
      <c r="D35" s="225">
        <v>398</v>
      </c>
      <c r="E35" s="225"/>
      <c r="F35" s="232">
        <v>464</v>
      </c>
      <c r="G35" s="225">
        <v>414</v>
      </c>
      <c r="H35" s="225"/>
      <c r="I35" s="225"/>
      <c r="J35" s="225"/>
      <c r="K35" s="232">
        <v>466</v>
      </c>
      <c r="L35" s="225"/>
      <c r="M35" s="225">
        <v>399</v>
      </c>
      <c r="N35" s="238">
        <f t="shared" si="3"/>
        <v>2533</v>
      </c>
      <c r="O35" s="95">
        <v>2</v>
      </c>
      <c r="P35" s="95">
        <v>6</v>
      </c>
      <c r="Q35" s="95">
        <v>-70</v>
      </c>
      <c r="R35" s="95">
        <v>0</v>
      </c>
      <c r="U35" s="97">
        <v>1</v>
      </c>
    </row>
    <row r="36" spans="1:21" s="115" customFormat="1" ht="15.75">
      <c r="A36" s="219" t="s">
        <v>141</v>
      </c>
      <c r="B36" s="220" t="s">
        <v>19</v>
      </c>
      <c r="C36" s="204">
        <v>415</v>
      </c>
      <c r="D36" s="220">
        <v>400</v>
      </c>
      <c r="E36" s="224">
        <v>427</v>
      </c>
      <c r="F36" s="220"/>
      <c r="G36" s="224">
        <v>424</v>
      </c>
      <c r="H36" s="220"/>
      <c r="I36" s="220"/>
      <c r="J36" s="220"/>
      <c r="K36" s="224">
        <v>429</v>
      </c>
      <c r="L36" s="220"/>
      <c r="M36" s="220">
        <v>396</v>
      </c>
      <c r="N36" s="161">
        <f t="shared" si="3"/>
        <v>2491</v>
      </c>
      <c r="O36" s="219">
        <v>3</v>
      </c>
      <c r="P36" s="219">
        <v>5</v>
      </c>
      <c r="Q36" s="219">
        <v>-75</v>
      </c>
      <c r="R36" s="219">
        <v>0</v>
      </c>
      <c r="U36" s="115">
        <v>1</v>
      </c>
    </row>
    <row r="37" spans="1:19" s="97" customFormat="1" ht="15.75">
      <c r="A37" s="95" t="s">
        <v>142</v>
      </c>
      <c r="B37" s="225" t="s">
        <v>220</v>
      </c>
      <c r="C37" s="227"/>
      <c r="D37" s="232">
        <v>447</v>
      </c>
      <c r="E37" s="225">
        <v>420</v>
      </c>
      <c r="F37" s="232">
        <v>458</v>
      </c>
      <c r="G37" s="225">
        <v>436</v>
      </c>
      <c r="H37" s="225"/>
      <c r="I37" s="225"/>
      <c r="J37" s="225"/>
      <c r="K37" s="232">
        <v>439</v>
      </c>
      <c r="L37" s="225"/>
      <c r="M37" s="225">
        <v>422</v>
      </c>
      <c r="N37" s="238">
        <f t="shared" si="3"/>
        <v>2622</v>
      </c>
      <c r="O37" s="95">
        <v>5</v>
      </c>
      <c r="P37" s="95">
        <v>3</v>
      </c>
      <c r="Q37" s="95">
        <v>42</v>
      </c>
      <c r="R37" s="95">
        <v>2</v>
      </c>
      <c r="S37" s="97">
        <v>1</v>
      </c>
    </row>
    <row r="38" spans="1:21" s="115" customFormat="1" ht="15.75">
      <c r="A38" s="219" t="s">
        <v>143</v>
      </c>
      <c r="B38" s="204" t="s">
        <v>219</v>
      </c>
      <c r="C38" s="204">
        <v>428</v>
      </c>
      <c r="D38" s="220">
        <v>436</v>
      </c>
      <c r="E38" s="224">
        <v>451</v>
      </c>
      <c r="F38" s="220">
        <v>403</v>
      </c>
      <c r="G38" s="220">
        <v>429</v>
      </c>
      <c r="H38" s="220"/>
      <c r="I38" s="220"/>
      <c r="J38" s="220"/>
      <c r="K38" s="224">
        <v>449</v>
      </c>
      <c r="L38" s="220"/>
      <c r="M38" s="220"/>
      <c r="N38" s="161">
        <f t="shared" si="3"/>
        <v>2596</v>
      </c>
      <c r="O38" s="219">
        <v>2</v>
      </c>
      <c r="P38" s="219">
        <v>6</v>
      </c>
      <c r="Q38" s="219">
        <v>-61</v>
      </c>
      <c r="R38" s="219">
        <v>0</v>
      </c>
      <c r="U38" s="115">
        <v>1</v>
      </c>
    </row>
    <row r="39" spans="1:21" s="97" customFormat="1" ht="15.75">
      <c r="A39" s="95" t="s">
        <v>144</v>
      </c>
      <c r="B39" s="227" t="s">
        <v>23</v>
      </c>
      <c r="C39" s="227"/>
      <c r="D39" s="232">
        <v>437</v>
      </c>
      <c r="E39" s="225">
        <v>437</v>
      </c>
      <c r="F39" s="232">
        <v>474</v>
      </c>
      <c r="G39" s="225">
        <v>406</v>
      </c>
      <c r="H39" s="225"/>
      <c r="I39" s="225"/>
      <c r="J39" s="225"/>
      <c r="K39" s="225">
        <v>425</v>
      </c>
      <c r="L39" s="225">
        <v>412</v>
      </c>
      <c r="M39" s="225"/>
      <c r="N39" s="238">
        <f t="shared" si="3"/>
        <v>2591</v>
      </c>
      <c r="O39" s="95">
        <v>2</v>
      </c>
      <c r="P39" s="95">
        <v>6</v>
      </c>
      <c r="Q39" s="95">
        <v>-168</v>
      </c>
      <c r="R39" s="95">
        <v>0</v>
      </c>
      <c r="U39" s="97">
        <v>1</v>
      </c>
    </row>
    <row r="40" spans="1:21" s="115" customFormat="1" ht="15.75">
      <c r="A40" s="219" t="s">
        <v>145</v>
      </c>
      <c r="B40" s="220" t="s">
        <v>180</v>
      </c>
      <c r="C40" s="204"/>
      <c r="D40" s="224">
        <v>212</v>
      </c>
      <c r="E40" s="220">
        <v>370</v>
      </c>
      <c r="F40" s="224">
        <v>409</v>
      </c>
      <c r="G40" s="220">
        <v>386</v>
      </c>
      <c r="H40" s="220"/>
      <c r="I40" s="220"/>
      <c r="J40" s="220"/>
      <c r="K40" s="220">
        <v>401</v>
      </c>
      <c r="L40" s="220">
        <v>351</v>
      </c>
      <c r="M40" s="224">
        <v>203</v>
      </c>
      <c r="N40" s="161">
        <f t="shared" si="3"/>
        <v>2332</v>
      </c>
      <c r="O40" s="219">
        <v>2</v>
      </c>
      <c r="P40" s="219">
        <v>6</v>
      </c>
      <c r="Q40" s="219">
        <v>-121</v>
      </c>
      <c r="R40" s="219">
        <v>0</v>
      </c>
      <c r="U40" s="115">
        <v>1</v>
      </c>
    </row>
    <row r="41" spans="1:19" s="97" customFormat="1" ht="15.75">
      <c r="A41" s="95" t="s">
        <v>146</v>
      </c>
      <c r="B41" s="225" t="s">
        <v>17</v>
      </c>
      <c r="C41" s="227"/>
      <c r="D41" s="232">
        <v>462</v>
      </c>
      <c r="E41" s="232">
        <v>432</v>
      </c>
      <c r="F41" s="225">
        <v>411</v>
      </c>
      <c r="G41" s="225">
        <v>413</v>
      </c>
      <c r="H41" s="225"/>
      <c r="I41" s="225"/>
      <c r="J41" s="225"/>
      <c r="K41" s="232">
        <v>467</v>
      </c>
      <c r="L41" s="225">
        <v>388</v>
      </c>
      <c r="M41" s="225"/>
      <c r="N41" s="238">
        <f t="shared" si="3"/>
        <v>2573</v>
      </c>
      <c r="O41" s="95">
        <v>5</v>
      </c>
      <c r="P41" s="95">
        <v>3</v>
      </c>
      <c r="Q41" s="95">
        <v>47</v>
      </c>
      <c r="R41" s="95">
        <v>2</v>
      </c>
      <c r="S41" s="97">
        <v>1</v>
      </c>
    </row>
    <row r="42" spans="1:19" s="115" customFormat="1" ht="15.75">
      <c r="A42" s="219" t="s">
        <v>147</v>
      </c>
      <c r="B42" s="204" t="s">
        <v>18</v>
      </c>
      <c r="C42" s="204"/>
      <c r="D42" s="224">
        <v>439</v>
      </c>
      <c r="E42" s="224">
        <v>442</v>
      </c>
      <c r="F42" s="224">
        <v>454</v>
      </c>
      <c r="G42" s="220">
        <v>402</v>
      </c>
      <c r="H42" s="220"/>
      <c r="I42" s="220"/>
      <c r="J42" s="220"/>
      <c r="K42" s="220">
        <v>432</v>
      </c>
      <c r="L42" s="220"/>
      <c r="M42" s="224">
        <v>444</v>
      </c>
      <c r="N42" s="161">
        <f t="shared" si="3"/>
        <v>2613</v>
      </c>
      <c r="O42" s="219">
        <v>6</v>
      </c>
      <c r="P42" s="219">
        <v>2</v>
      </c>
      <c r="Q42" s="219">
        <v>6</v>
      </c>
      <c r="R42" s="219">
        <v>2</v>
      </c>
      <c r="S42" s="115">
        <v>1</v>
      </c>
    </row>
    <row r="43" spans="1:19" s="115" customFormat="1" ht="16.5" thickBot="1">
      <c r="A43" s="219" t="s">
        <v>148</v>
      </c>
      <c r="B43" s="220" t="s">
        <v>259</v>
      </c>
      <c r="C43" s="152"/>
      <c r="D43" s="125">
        <v>424</v>
      </c>
      <c r="E43" s="125">
        <v>410</v>
      </c>
      <c r="F43" s="235">
        <v>447</v>
      </c>
      <c r="G43" s="235">
        <v>441</v>
      </c>
      <c r="H43" s="125"/>
      <c r="I43" s="125"/>
      <c r="J43" s="125"/>
      <c r="K43" s="235">
        <v>484</v>
      </c>
      <c r="L43" s="125"/>
      <c r="M43" s="299">
        <v>424</v>
      </c>
      <c r="N43" s="161">
        <f t="shared" si="3"/>
        <v>2630</v>
      </c>
      <c r="O43" s="219">
        <v>6</v>
      </c>
      <c r="P43" s="219">
        <v>2</v>
      </c>
      <c r="Q43" s="219">
        <v>122</v>
      </c>
      <c r="R43" s="219">
        <v>2</v>
      </c>
      <c r="S43" s="115">
        <v>1</v>
      </c>
    </row>
    <row r="44" spans="3:21" ht="16.5" thickTop="1">
      <c r="C44" s="35">
        <f>SUM(C29:C43)</f>
        <v>1638</v>
      </c>
      <c r="D44" s="35">
        <f>SUM(D29:D30)+SUM(D31:D39)+SUM(D41:D43)</f>
        <v>6024</v>
      </c>
      <c r="E44" s="35">
        <f>SUM(E29:E43)</f>
        <v>5942</v>
      </c>
      <c r="F44" s="35">
        <f>SUM(F29:F43)</f>
        <v>6152</v>
      </c>
      <c r="G44" s="35">
        <f>SUM(G29:G43)</f>
        <v>5815</v>
      </c>
      <c r="H44" s="35">
        <f>SUM(H29:H43)</f>
        <v>0</v>
      </c>
      <c r="I44" s="35">
        <f>SUM(I29:I43)</f>
        <v>0</v>
      </c>
      <c r="J44" s="35">
        <f>SUM(J29:J30)+SUM(J32:J38)+SUM(J40:J43)</f>
        <v>0</v>
      </c>
      <c r="K44" s="35">
        <f>SUM(K29:K31)+SUM(K32:K38)+SUM(K39:K43)</f>
        <v>6674</v>
      </c>
      <c r="L44" s="35">
        <f>SUM(L29:L31)+SUM(L32:L43)</f>
        <v>2804</v>
      </c>
      <c r="M44" s="35">
        <f>SUM(M29:M30)+SUM(M31:M39)+SUM(M41:M43)</f>
        <v>2912</v>
      </c>
      <c r="O44" s="1">
        <f>SUM(O29:O43)</f>
        <v>57</v>
      </c>
      <c r="P44" s="1">
        <f>SUM(P29:P43)</f>
        <v>63</v>
      </c>
      <c r="Q44" s="1">
        <f>SUM(Q29:Q43)</f>
        <v>-231</v>
      </c>
      <c r="R44" s="1">
        <f>SUM(R29:R43)</f>
        <v>15</v>
      </c>
      <c r="S44" s="1">
        <f>SUM(S29:S43)+S21</f>
        <v>18</v>
      </c>
      <c r="T44" s="1">
        <f>SUM(T29:T43)+T21</f>
        <v>3</v>
      </c>
      <c r="U44" s="1">
        <f>SUM(U29:U43)+U21</f>
        <v>9</v>
      </c>
    </row>
    <row r="45" spans="2:13" ht="15.75">
      <c r="B45" s="36" t="s">
        <v>213</v>
      </c>
      <c r="C45" s="1">
        <f>COUNT(C29:C43)</f>
        <v>4</v>
      </c>
      <c r="D45" s="1">
        <f>COUNT(D29:D30)+COUNT(D31:D39)+COUNT(D41:D43)</f>
        <v>14</v>
      </c>
      <c r="E45" s="1">
        <f>COUNT(E29:E43)</f>
        <v>14</v>
      </c>
      <c r="F45" s="1">
        <f>COUNT(F29:F43)</f>
        <v>14</v>
      </c>
      <c r="G45" s="1">
        <f>COUNT(G29:G43)</f>
        <v>14</v>
      </c>
      <c r="H45" s="1">
        <f>COUNT(H29:H43)</f>
        <v>0</v>
      </c>
      <c r="I45" s="1">
        <f>COUNT(I29:I43)</f>
        <v>0</v>
      </c>
      <c r="J45" s="1">
        <f>COUNT(J29:J30)+COUNT(J32:J38)+COUNT(J40:J43)</f>
        <v>0</v>
      </c>
      <c r="K45" s="1">
        <f>COUNT(K29:K43)</f>
        <v>15</v>
      </c>
      <c r="L45" s="1">
        <f>COUNT(L29:L31)+COUNT(L32:L43)</f>
        <v>7</v>
      </c>
      <c r="M45" s="1">
        <f>COUNT(M29:M30)+COUNT(M31:M39)+COUNT(M41:M43)</f>
        <v>7</v>
      </c>
    </row>
    <row r="46" spans="2:21" ht="31.5">
      <c r="B46" s="11" t="s">
        <v>210</v>
      </c>
      <c r="C46" s="16">
        <f aca="true" t="shared" si="4" ref="C46:M46">C44/C45</f>
        <v>409.5</v>
      </c>
      <c r="D46" s="16">
        <f t="shared" si="4"/>
        <v>430.2857142857143</v>
      </c>
      <c r="E46" s="16">
        <f t="shared" si="4"/>
        <v>424.42857142857144</v>
      </c>
      <c r="F46" s="16">
        <f t="shared" si="4"/>
        <v>439.42857142857144</v>
      </c>
      <c r="G46" s="16">
        <f t="shared" si="4"/>
        <v>415.35714285714283</v>
      </c>
      <c r="H46" s="16" t="e">
        <f t="shared" si="4"/>
        <v>#DIV/0!</v>
      </c>
      <c r="I46" s="16" t="e">
        <f t="shared" si="4"/>
        <v>#DIV/0!</v>
      </c>
      <c r="J46" s="16" t="e">
        <f t="shared" si="4"/>
        <v>#DIV/0!</v>
      </c>
      <c r="K46" s="16">
        <f t="shared" si="4"/>
        <v>444.93333333333334</v>
      </c>
      <c r="L46" s="16">
        <f t="shared" si="4"/>
        <v>400.57142857142856</v>
      </c>
      <c r="M46" s="16">
        <f t="shared" si="4"/>
        <v>416</v>
      </c>
      <c r="N46" s="3" t="s">
        <v>27</v>
      </c>
      <c r="O46" s="308" t="s">
        <v>102</v>
      </c>
      <c r="P46" s="308"/>
      <c r="Q46" s="3" t="s">
        <v>28</v>
      </c>
      <c r="R46" s="10" t="s">
        <v>103</v>
      </c>
      <c r="T46" s="40" t="s">
        <v>111</v>
      </c>
      <c r="U46" s="40" t="s">
        <v>192</v>
      </c>
    </row>
    <row r="47" spans="14:21" ht="15.75">
      <c r="N47" s="6">
        <f>SUM(N29:N43)+N24</f>
        <v>77292</v>
      </c>
      <c r="O47" s="6">
        <f>SUM(O29:O43)+O24</f>
        <v>133</v>
      </c>
      <c r="P47" s="6">
        <f>SUM(P29:P43)+P24</f>
        <v>107</v>
      </c>
      <c r="Q47" s="6">
        <f>SUM(Q29:Q43)+Q24</f>
        <v>594</v>
      </c>
      <c r="R47" s="6">
        <f>SUM(R29:R43)+R24</f>
        <v>39</v>
      </c>
      <c r="T47" s="26">
        <f>O47-P47</f>
        <v>26</v>
      </c>
      <c r="U47" s="2">
        <f>SUM(S44:U44)</f>
        <v>30</v>
      </c>
    </row>
    <row r="49" spans="14:15" ht="15.75">
      <c r="N49" s="1" t="s">
        <v>113</v>
      </c>
      <c r="O49" s="18">
        <f>N47/U47</f>
        <v>2576.4</v>
      </c>
    </row>
  </sheetData>
  <sheetProtection/>
  <mergeCells count="11">
    <mergeCell ref="O23:P23"/>
    <mergeCell ref="F25:G25"/>
    <mergeCell ref="E1:F1"/>
    <mergeCell ref="H1:I1"/>
    <mergeCell ref="K1:M1"/>
    <mergeCell ref="K2:M2"/>
    <mergeCell ref="O46:P46"/>
    <mergeCell ref="I25:J25"/>
    <mergeCell ref="C4:J4"/>
    <mergeCell ref="O4:P4"/>
    <mergeCell ref="C25:D25"/>
  </mergeCells>
  <printOptions/>
  <pageMargins left="0.75" right="0.75" top="1" bottom="1" header="0.5" footer="0.5"/>
  <pageSetup horizontalDpi="600" verticalDpi="600" orientation="portrait" paperSize="9" r:id="rId1"/>
  <ignoredErrors>
    <ignoredError sqref="N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zoomScale="90" zoomScaleNormal="90" zoomScalePageLayoutView="0" workbookViewId="0" topLeftCell="B23">
      <selection activeCell="E43" sqref="E43"/>
    </sheetView>
  </sheetViews>
  <sheetFormatPr defaultColWidth="9.00390625" defaultRowHeight="12.75"/>
  <cols>
    <col min="1" max="1" width="12.125" style="1" customWidth="1"/>
    <col min="2" max="2" width="21.00390625" style="1" bestFit="1" customWidth="1"/>
    <col min="3" max="3" width="9.75390625" style="1" customWidth="1"/>
    <col min="4" max="4" width="10.625" style="1" customWidth="1"/>
    <col min="5" max="5" width="9.00390625" style="1" customWidth="1"/>
    <col min="6" max="6" width="10.875" style="1" customWidth="1"/>
    <col min="7" max="8" width="8.625" style="1" customWidth="1"/>
    <col min="9" max="9" width="11.125" style="1" customWidth="1"/>
    <col min="10" max="10" width="12.875" style="1" customWidth="1"/>
    <col min="11" max="11" width="12.00390625" style="1" customWidth="1"/>
    <col min="12" max="12" width="12.375" style="1" customWidth="1"/>
    <col min="13" max="13" width="9.625" style="1" customWidth="1"/>
    <col min="14" max="14" width="9.375" style="1" customWidth="1"/>
    <col min="15" max="15" width="17.75390625" style="1" customWidth="1"/>
    <col min="16" max="16" width="11.25390625" style="1" customWidth="1"/>
    <col min="17" max="17" width="10.375" style="1" customWidth="1"/>
    <col min="18" max="18" width="13.375" style="1" customWidth="1"/>
    <col min="19" max="19" width="10.875" style="1" customWidth="1"/>
    <col min="20" max="20" width="9.25390625" style="2" bestFit="1" customWidth="1"/>
    <col min="21" max="21" width="15.125" style="2" bestFit="1" customWidth="1"/>
    <col min="22" max="22" width="12.125" style="2" customWidth="1"/>
  </cols>
  <sheetData>
    <row r="1" spans="1:16" ht="15.75">
      <c r="A1" s="27" t="s">
        <v>125</v>
      </c>
      <c r="B1" s="31"/>
      <c r="C1" s="28" t="s">
        <v>122</v>
      </c>
      <c r="D1" s="28" t="s">
        <v>123</v>
      </c>
      <c r="E1" s="306" t="s">
        <v>124</v>
      </c>
      <c r="F1" s="306"/>
      <c r="G1" s="28"/>
      <c r="H1" s="28"/>
      <c r="J1" s="301" t="s">
        <v>134</v>
      </c>
      <c r="K1" s="301"/>
      <c r="L1" s="11" t="s">
        <v>135</v>
      </c>
      <c r="M1" s="301" t="s">
        <v>111</v>
      </c>
      <c r="N1" s="301"/>
      <c r="O1" s="1" t="s">
        <v>113</v>
      </c>
      <c r="P1" s="18">
        <f>O24/V24</f>
        <v>2648.0666666666666</v>
      </c>
    </row>
    <row r="2" spans="10:16" ht="15.75">
      <c r="J2" s="6">
        <f>P24+P44</f>
        <v>171</v>
      </c>
      <c r="K2" s="1">
        <f>Q24+Q44</f>
        <v>69</v>
      </c>
      <c r="L2" s="6">
        <f>S24+S44</f>
        <v>53</v>
      </c>
      <c r="M2" s="312">
        <f>J2-K2</f>
        <v>102</v>
      </c>
      <c r="N2" s="307"/>
      <c r="O2" s="1" t="s">
        <v>198</v>
      </c>
      <c r="P2" s="6">
        <f>O7+O9+O11+O13+O15+O17+O19+O30+O32+O34+O36+O37+O39+O41+O43</f>
        <v>39739</v>
      </c>
    </row>
    <row r="3" spans="10:16" ht="15.75">
      <c r="J3" s="6"/>
      <c r="P3" s="6"/>
    </row>
    <row r="4" spans="3:17" ht="15.75">
      <c r="C4" s="308" t="s">
        <v>24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P4" s="308" t="s">
        <v>25</v>
      </c>
      <c r="Q4" s="308"/>
    </row>
    <row r="5" spans="2:22" ht="32.25" thickBot="1">
      <c r="B5" s="3" t="s">
        <v>22</v>
      </c>
      <c r="C5" s="8" t="s">
        <v>34</v>
      </c>
      <c r="D5" s="8" t="s">
        <v>35</v>
      </c>
      <c r="E5" s="82" t="s">
        <v>247</v>
      </c>
      <c r="F5" s="8" t="s">
        <v>116</v>
      </c>
      <c r="G5" s="8" t="s">
        <v>45</v>
      </c>
      <c r="H5" s="8" t="s">
        <v>264</v>
      </c>
      <c r="I5" s="8" t="s">
        <v>37</v>
      </c>
      <c r="J5" s="8" t="s">
        <v>38</v>
      </c>
      <c r="K5" s="8" t="s">
        <v>97</v>
      </c>
      <c r="L5" s="8" t="s">
        <v>36</v>
      </c>
      <c r="M5" s="8" t="s">
        <v>110</v>
      </c>
      <c r="N5" s="8" t="s">
        <v>248</v>
      </c>
      <c r="O5" s="3" t="s">
        <v>27</v>
      </c>
      <c r="P5" s="3" t="s">
        <v>23</v>
      </c>
      <c r="Q5" s="3" t="s">
        <v>26</v>
      </c>
      <c r="R5" s="3" t="s">
        <v>28</v>
      </c>
      <c r="S5" s="10" t="s">
        <v>101</v>
      </c>
      <c r="T5" s="2" t="s">
        <v>162</v>
      </c>
      <c r="U5" s="2" t="s">
        <v>163</v>
      </c>
      <c r="V5" s="2" t="s">
        <v>164</v>
      </c>
    </row>
    <row r="6" spans="1:20" s="96" customFormat="1" ht="15.75">
      <c r="A6" s="96" t="s">
        <v>0</v>
      </c>
      <c r="B6" s="100" t="s">
        <v>18</v>
      </c>
      <c r="D6" s="101"/>
      <c r="E6" s="174">
        <v>438</v>
      </c>
      <c r="F6" s="174">
        <v>482</v>
      </c>
      <c r="G6" s="101">
        <v>422</v>
      </c>
      <c r="H6" s="101"/>
      <c r="I6" s="101"/>
      <c r="J6" s="101"/>
      <c r="K6" s="174">
        <v>472</v>
      </c>
      <c r="L6" s="174">
        <v>432</v>
      </c>
      <c r="M6" s="101"/>
      <c r="N6" s="175">
        <v>444</v>
      </c>
      <c r="O6" s="141">
        <f>SUM(C6:N6)</f>
        <v>2690</v>
      </c>
      <c r="P6" s="96">
        <v>7</v>
      </c>
      <c r="Q6" s="96">
        <v>1</v>
      </c>
      <c r="R6" s="141">
        <v>257</v>
      </c>
      <c r="S6" s="96">
        <v>2</v>
      </c>
      <c r="T6" s="96">
        <v>1</v>
      </c>
    </row>
    <row r="7" spans="1:20" s="120" customFormat="1" ht="15.75">
      <c r="A7" s="120" t="s">
        <v>1</v>
      </c>
      <c r="B7" s="114" t="s">
        <v>219</v>
      </c>
      <c r="D7" s="116"/>
      <c r="E7" s="181">
        <v>462</v>
      </c>
      <c r="F7" s="181">
        <v>462</v>
      </c>
      <c r="G7" s="116">
        <v>435</v>
      </c>
      <c r="H7" s="116"/>
      <c r="I7" s="116"/>
      <c r="J7" s="116"/>
      <c r="K7" s="116">
        <v>435</v>
      </c>
      <c r="L7" s="181">
        <v>466</v>
      </c>
      <c r="M7" s="116"/>
      <c r="N7" s="183">
        <v>460</v>
      </c>
      <c r="O7" s="132">
        <f>SUM(C7:N7)</f>
        <v>2720</v>
      </c>
      <c r="P7" s="120">
        <v>6</v>
      </c>
      <c r="Q7" s="120">
        <v>2</v>
      </c>
      <c r="R7" s="132">
        <v>111</v>
      </c>
      <c r="S7" s="120">
        <v>2</v>
      </c>
      <c r="T7" s="120">
        <v>1</v>
      </c>
    </row>
    <row r="8" spans="1:20" s="100" customFormat="1" ht="15.75">
      <c r="A8" s="100" t="s">
        <v>2</v>
      </c>
      <c r="B8" s="100" t="s">
        <v>220</v>
      </c>
      <c r="D8" s="101"/>
      <c r="E8" s="174">
        <v>441</v>
      </c>
      <c r="F8" s="174">
        <v>456</v>
      </c>
      <c r="G8" s="101"/>
      <c r="H8" s="101"/>
      <c r="I8" s="101"/>
      <c r="J8" s="101">
        <v>410</v>
      </c>
      <c r="K8" s="174">
        <v>453</v>
      </c>
      <c r="L8" s="174">
        <v>438</v>
      </c>
      <c r="M8" s="101"/>
      <c r="N8" s="191">
        <v>449</v>
      </c>
      <c r="O8" s="99">
        <f>SUM(B8:N8)</f>
        <v>2647</v>
      </c>
      <c r="P8" s="100">
        <v>7</v>
      </c>
      <c r="Q8" s="100">
        <v>1</v>
      </c>
      <c r="R8" s="99">
        <f>O8-2534</f>
        <v>113</v>
      </c>
      <c r="S8" s="100">
        <v>2</v>
      </c>
      <c r="T8" s="100">
        <v>1</v>
      </c>
    </row>
    <row r="9" spans="1:20" s="114" customFormat="1" ht="15.75">
      <c r="A9" s="114" t="s">
        <v>3</v>
      </c>
      <c r="B9" s="114" t="s">
        <v>19</v>
      </c>
      <c r="D9" s="116"/>
      <c r="E9" s="181">
        <v>410</v>
      </c>
      <c r="F9" s="181">
        <v>458</v>
      </c>
      <c r="G9" s="116">
        <v>401</v>
      </c>
      <c r="H9" s="116"/>
      <c r="I9" s="116"/>
      <c r="J9" s="116">
        <v>405</v>
      </c>
      <c r="K9" s="116"/>
      <c r="L9" s="116"/>
      <c r="M9" s="181">
        <v>426</v>
      </c>
      <c r="N9" s="183">
        <v>421</v>
      </c>
      <c r="O9" s="146">
        <f aca="true" t="shared" si="0" ref="O9:O20">SUM(C9:N9)</f>
        <v>2521</v>
      </c>
      <c r="P9" s="114">
        <v>6</v>
      </c>
      <c r="Q9" s="114">
        <v>2</v>
      </c>
      <c r="R9" s="146">
        <v>39</v>
      </c>
      <c r="S9" s="114">
        <v>2</v>
      </c>
      <c r="T9" s="114">
        <v>1</v>
      </c>
    </row>
    <row r="10" spans="1:20" s="100" customFormat="1" ht="15.75">
      <c r="A10" s="100" t="s">
        <v>4</v>
      </c>
      <c r="B10" s="96" t="s">
        <v>257</v>
      </c>
      <c r="D10" s="101">
        <v>407</v>
      </c>
      <c r="E10" s="174">
        <v>459</v>
      </c>
      <c r="F10" s="174">
        <v>495</v>
      </c>
      <c r="G10" s="101"/>
      <c r="H10" s="101"/>
      <c r="I10" s="101"/>
      <c r="J10" s="101"/>
      <c r="K10" s="101"/>
      <c r="L10" s="174">
        <v>424</v>
      </c>
      <c r="M10" s="101">
        <v>411</v>
      </c>
      <c r="N10" s="191">
        <v>441</v>
      </c>
      <c r="O10" s="99">
        <f t="shared" si="0"/>
        <v>2637</v>
      </c>
      <c r="P10" s="100">
        <v>6</v>
      </c>
      <c r="Q10" s="100">
        <v>2</v>
      </c>
      <c r="R10" s="99">
        <v>162</v>
      </c>
      <c r="S10" s="100">
        <v>2</v>
      </c>
      <c r="T10" s="100">
        <v>1</v>
      </c>
    </row>
    <row r="11" spans="1:20" s="114" customFormat="1" ht="15.75">
      <c r="A11" s="114" t="s">
        <v>5</v>
      </c>
      <c r="B11" s="114" t="s">
        <v>258</v>
      </c>
      <c r="D11" s="116"/>
      <c r="E11" s="181">
        <v>465</v>
      </c>
      <c r="F11" s="181">
        <v>462</v>
      </c>
      <c r="G11" s="181">
        <v>431</v>
      </c>
      <c r="H11" s="116"/>
      <c r="I11" s="116"/>
      <c r="J11" s="116"/>
      <c r="K11" s="181">
        <v>478</v>
      </c>
      <c r="L11" s="116">
        <v>425</v>
      </c>
      <c r="M11" s="116"/>
      <c r="N11" s="117">
        <v>424</v>
      </c>
      <c r="O11" s="146">
        <f t="shared" si="0"/>
        <v>2685</v>
      </c>
      <c r="P11" s="114">
        <v>6</v>
      </c>
      <c r="Q11" s="114">
        <v>2</v>
      </c>
      <c r="R11" s="146">
        <v>159</v>
      </c>
      <c r="S11" s="114">
        <v>2</v>
      </c>
      <c r="T11" s="114">
        <v>1</v>
      </c>
    </row>
    <row r="12" spans="1:20" s="100" customFormat="1" ht="15.75">
      <c r="A12" s="100" t="s">
        <v>6</v>
      </c>
      <c r="B12" s="101" t="s">
        <v>218</v>
      </c>
      <c r="D12" s="96"/>
      <c r="E12" s="179">
        <v>450</v>
      </c>
      <c r="F12" s="179">
        <v>461</v>
      </c>
      <c r="G12" s="96">
        <v>427</v>
      </c>
      <c r="H12" s="96"/>
      <c r="I12" s="96"/>
      <c r="J12" s="96"/>
      <c r="K12" s="179">
        <v>430</v>
      </c>
      <c r="L12" s="179">
        <v>443</v>
      </c>
      <c r="M12" s="96"/>
      <c r="N12" s="102">
        <v>416</v>
      </c>
      <c r="O12" s="141">
        <f t="shared" si="0"/>
        <v>2627</v>
      </c>
      <c r="P12" s="100">
        <v>6</v>
      </c>
      <c r="Q12" s="100">
        <v>2</v>
      </c>
      <c r="R12" s="100">
        <v>156</v>
      </c>
      <c r="S12" s="100">
        <v>2</v>
      </c>
      <c r="T12" s="100">
        <v>1</v>
      </c>
    </row>
    <row r="13" spans="1:20" s="114" customFormat="1" ht="15.75">
      <c r="A13" s="114" t="s">
        <v>7</v>
      </c>
      <c r="B13" s="120" t="s">
        <v>15</v>
      </c>
      <c r="D13" s="116"/>
      <c r="E13" s="116">
        <v>431</v>
      </c>
      <c r="F13" s="181">
        <v>441</v>
      </c>
      <c r="G13" s="181">
        <v>446</v>
      </c>
      <c r="H13" s="116"/>
      <c r="I13" s="116"/>
      <c r="J13" s="116"/>
      <c r="K13" s="181">
        <v>437</v>
      </c>
      <c r="L13" s="181">
        <v>473</v>
      </c>
      <c r="M13" s="116">
        <v>433</v>
      </c>
      <c r="N13" s="117"/>
      <c r="O13" s="146">
        <f t="shared" si="0"/>
        <v>2661</v>
      </c>
      <c r="P13" s="114">
        <v>6</v>
      </c>
      <c r="Q13" s="114">
        <v>2</v>
      </c>
      <c r="R13" s="146">
        <v>71</v>
      </c>
      <c r="S13" s="114">
        <v>2</v>
      </c>
      <c r="T13" s="114">
        <v>1</v>
      </c>
    </row>
    <row r="14" spans="1:20" s="100" customFormat="1" ht="15.75">
      <c r="A14" s="100" t="s">
        <v>8</v>
      </c>
      <c r="B14" s="96" t="s">
        <v>177</v>
      </c>
      <c r="D14" s="96"/>
      <c r="E14" s="179">
        <v>462</v>
      </c>
      <c r="F14" s="96"/>
      <c r="G14" s="179">
        <v>442</v>
      </c>
      <c r="H14" s="96"/>
      <c r="I14" s="179">
        <v>431</v>
      </c>
      <c r="J14" s="96"/>
      <c r="K14" s="179">
        <v>474</v>
      </c>
      <c r="L14" s="96">
        <v>424</v>
      </c>
      <c r="M14" s="96"/>
      <c r="N14" s="102">
        <v>425</v>
      </c>
      <c r="O14" s="99">
        <f t="shared" si="0"/>
        <v>2658</v>
      </c>
      <c r="P14" s="100">
        <v>6</v>
      </c>
      <c r="Q14" s="100">
        <v>2</v>
      </c>
      <c r="R14" s="99">
        <v>193</v>
      </c>
      <c r="S14" s="100">
        <v>2</v>
      </c>
      <c r="T14" s="100">
        <v>1</v>
      </c>
    </row>
    <row r="15" spans="1:20" s="114" customFormat="1" ht="15.75">
      <c r="A15" s="114" t="s">
        <v>9</v>
      </c>
      <c r="B15" s="114" t="s">
        <v>179</v>
      </c>
      <c r="D15" s="116"/>
      <c r="E15" s="181">
        <v>481</v>
      </c>
      <c r="F15" s="181">
        <v>468</v>
      </c>
      <c r="G15" s="116">
        <v>434</v>
      </c>
      <c r="H15" s="116"/>
      <c r="I15" s="116"/>
      <c r="J15" s="116"/>
      <c r="K15" s="181">
        <v>452</v>
      </c>
      <c r="L15" s="181">
        <v>455</v>
      </c>
      <c r="M15" s="116"/>
      <c r="N15" s="117">
        <v>421</v>
      </c>
      <c r="O15" s="146">
        <f t="shared" si="0"/>
        <v>2711</v>
      </c>
      <c r="P15" s="114">
        <v>6</v>
      </c>
      <c r="Q15" s="114">
        <v>2</v>
      </c>
      <c r="R15" s="146">
        <v>61</v>
      </c>
      <c r="S15" s="114">
        <v>2</v>
      </c>
      <c r="T15" s="114">
        <v>1</v>
      </c>
    </row>
    <row r="16" spans="1:24" s="100" customFormat="1" ht="15.75">
      <c r="A16" s="100" t="s">
        <v>10</v>
      </c>
      <c r="B16" s="96" t="s">
        <v>20</v>
      </c>
      <c r="D16" s="230">
        <v>467</v>
      </c>
      <c r="E16" s="230">
        <v>484</v>
      </c>
      <c r="F16" s="230">
        <v>463</v>
      </c>
      <c r="G16" s="101">
        <v>416</v>
      </c>
      <c r="H16" s="101"/>
      <c r="I16" s="101"/>
      <c r="J16" s="101"/>
      <c r="K16" s="230">
        <v>445</v>
      </c>
      <c r="L16" s="101">
        <v>419</v>
      </c>
      <c r="M16" s="101"/>
      <c r="N16" s="102"/>
      <c r="O16" s="99">
        <f t="shared" si="0"/>
        <v>2694</v>
      </c>
      <c r="P16" s="144">
        <v>6</v>
      </c>
      <c r="Q16" s="144">
        <v>2</v>
      </c>
      <c r="R16" s="143">
        <v>156</v>
      </c>
      <c r="S16" s="144">
        <v>2</v>
      </c>
      <c r="T16" s="144">
        <v>1</v>
      </c>
      <c r="U16" s="144"/>
      <c r="V16" s="144"/>
      <c r="W16" s="144"/>
      <c r="X16" s="144"/>
    </row>
    <row r="17" spans="1:20" s="114" customFormat="1" ht="15.75">
      <c r="A17" s="114" t="s">
        <v>11</v>
      </c>
      <c r="B17" s="114" t="s">
        <v>259</v>
      </c>
      <c r="D17" s="116"/>
      <c r="E17" s="181">
        <v>456</v>
      </c>
      <c r="F17" s="116"/>
      <c r="G17" s="181">
        <v>434</v>
      </c>
      <c r="H17" s="116"/>
      <c r="I17" s="116"/>
      <c r="J17" s="116"/>
      <c r="K17" s="181">
        <v>445</v>
      </c>
      <c r="L17" s="116">
        <v>419</v>
      </c>
      <c r="M17" s="116">
        <v>402</v>
      </c>
      <c r="N17" s="117">
        <v>427</v>
      </c>
      <c r="O17" s="146">
        <f t="shared" si="0"/>
        <v>2583</v>
      </c>
      <c r="P17" s="114">
        <v>5</v>
      </c>
      <c r="Q17" s="114">
        <v>3</v>
      </c>
      <c r="R17" s="146">
        <v>8</v>
      </c>
      <c r="S17" s="114">
        <v>2</v>
      </c>
      <c r="T17" s="114">
        <v>1</v>
      </c>
    </row>
    <row r="18" spans="1:21" s="100" customFormat="1" ht="15.75">
      <c r="A18" s="100" t="s">
        <v>12</v>
      </c>
      <c r="B18" s="96" t="s">
        <v>178</v>
      </c>
      <c r="D18" s="101">
        <v>409</v>
      </c>
      <c r="E18" s="230">
        <v>472</v>
      </c>
      <c r="F18" s="230">
        <v>435</v>
      </c>
      <c r="G18" s="101">
        <v>418</v>
      </c>
      <c r="H18" s="101"/>
      <c r="I18" s="101"/>
      <c r="J18" s="101"/>
      <c r="K18" s="230">
        <v>422</v>
      </c>
      <c r="L18" s="230">
        <v>426</v>
      </c>
      <c r="M18" s="101"/>
      <c r="N18" s="102"/>
      <c r="O18" s="99">
        <f t="shared" si="0"/>
        <v>2582</v>
      </c>
      <c r="P18" s="100">
        <v>4</v>
      </c>
      <c r="Q18" s="100">
        <v>4</v>
      </c>
      <c r="R18" s="99">
        <v>-28</v>
      </c>
      <c r="S18" s="100">
        <v>1</v>
      </c>
      <c r="U18" s="100">
        <v>1</v>
      </c>
    </row>
    <row r="19" spans="1:22" s="114" customFormat="1" ht="15.75">
      <c r="A19" s="114" t="s">
        <v>13</v>
      </c>
      <c r="B19" s="120" t="s">
        <v>17</v>
      </c>
      <c r="D19" s="116"/>
      <c r="E19" s="181">
        <v>466</v>
      </c>
      <c r="F19" s="181">
        <v>460</v>
      </c>
      <c r="G19" s="116">
        <v>430</v>
      </c>
      <c r="H19" s="116"/>
      <c r="I19" s="116"/>
      <c r="J19" s="116"/>
      <c r="K19" s="116">
        <v>414</v>
      </c>
      <c r="L19" s="116">
        <v>413</v>
      </c>
      <c r="M19" s="116"/>
      <c r="N19" s="183">
        <v>457</v>
      </c>
      <c r="O19" s="146">
        <f t="shared" si="0"/>
        <v>2640</v>
      </c>
      <c r="P19" s="114">
        <v>3</v>
      </c>
      <c r="Q19" s="114">
        <v>5</v>
      </c>
      <c r="R19" s="146">
        <v>-25</v>
      </c>
      <c r="S19" s="114">
        <v>0</v>
      </c>
      <c r="V19" s="114">
        <v>1</v>
      </c>
    </row>
    <row r="20" spans="1:20" s="100" customFormat="1" ht="16.5" thickBot="1">
      <c r="A20" s="100" t="s">
        <v>14</v>
      </c>
      <c r="B20" s="96" t="s">
        <v>180</v>
      </c>
      <c r="C20" s="145"/>
      <c r="D20" s="108">
        <v>413</v>
      </c>
      <c r="E20" s="236">
        <v>452</v>
      </c>
      <c r="F20" s="108"/>
      <c r="G20" s="108"/>
      <c r="H20" s="108"/>
      <c r="I20" s="236">
        <v>472</v>
      </c>
      <c r="J20" s="108"/>
      <c r="K20" s="236">
        <v>458</v>
      </c>
      <c r="L20" s="108"/>
      <c r="M20" s="108">
        <v>420</v>
      </c>
      <c r="N20" s="237">
        <v>450</v>
      </c>
      <c r="O20" s="99">
        <f t="shared" si="0"/>
        <v>2665</v>
      </c>
      <c r="P20" s="100">
        <v>6</v>
      </c>
      <c r="Q20" s="100">
        <v>2</v>
      </c>
      <c r="R20" s="99">
        <v>169</v>
      </c>
      <c r="S20" s="100">
        <v>2</v>
      </c>
      <c r="T20" s="100">
        <v>1</v>
      </c>
    </row>
    <row r="21" spans="2:22" ht="16.5" thickTop="1">
      <c r="B21" s="20"/>
      <c r="C21" s="6">
        <f>SUM(C6:C20)</f>
        <v>0</v>
      </c>
      <c r="D21" s="6">
        <f>SUM(D6:D20)</f>
        <v>1696</v>
      </c>
      <c r="E21" s="6">
        <f>SUM(E6:E20)</f>
        <v>6829</v>
      </c>
      <c r="F21" s="6">
        <f>SUM(F6:F20)</f>
        <v>5543</v>
      </c>
      <c r="G21" s="6">
        <f aca="true" t="shared" si="1" ref="G21:N21">SUM(G6:G20)</f>
        <v>5136</v>
      </c>
      <c r="H21" s="6">
        <f>SUM(H6:H20)</f>
        <v>0</v>
      </c>
      <c r="I21" s="6">
        <f t="shared" si="1"/>
        <v>903</v>
      </c>
      <c r="J21" s="6">
        <f t="shared" si="1"/>
        <v>815</v>
      </c>
      <c r="K21" s="6">
        <f t="shared" si="1"/>
        <v>5815</v>
      </c>
      <c r="L21" s="6">
        <f t="shared" si="1"/>
        <v>5657</v>
      </c>
      <c r="M21" s="6">
        <f t="shared" si="1"/>
        <v>2092</v>
      </c>
      <c r="N21" s="6">
        <f t="shared" si="1"/>
        <v>5235</v>
      </c>
      <c r="T21" s="2">
        <f>SUM(T6:T20)</f>
        <v>13</v>
      </c>
      <c r="U21" s="2">
        <f>SUM(U6:U20)</f>
        <v>1</v>
      </c>
      <c r="V21" s="2">
        <f>SUM(V6:V20)</f>
        <v>1</v>
      </c>
    </row>
    <row r="22" spans="2:14" ht="15.75">
      <c r="B22" s="1" t="s">
        <v>193</v>
      </c>
      <c r="C22" s="6">
        <f>COUNT(C6:C20)</f>
        <v>0</v>
      </c>
      <c r="D22" s="6">
        <f>COUNT(D6:D20)</f>
        <v>4</v>
      </c>
      <c r="E22" s="6">
        <f>COUNT(E6:E20)</f>
        <v>15</v>
      </c>
      <c r="F22" s="6">
        <f>COUNT(F6:F20)</f>
        <v>12</v>
      </c>
      <c r="G22" s="6">
        <f aca="true" t="shared" si="2" ref="G22:N22">COUNT(G6:G20)</f>
        <v>12</v>
      </c>
      <c r="H22" s="6">
        <f>COUNT(H6:H20)</f>
        <v>0</v>
      </c>
      <c r="I22" s="6">
        <f t="shared" si="2"/>
        <v>2</v>
      </c>
      <c r="J22" s="6">
        <f t="shared" si="2"/>
        <v>2</v>
      </c>
      <c r="K22" s="6">
        <f t="shared" si="2"/>
        <v>13</v>
      </c>
      <c r="L22" s="6">
        <f t="shared" si="2"/>
        <v>13</v>
      </c>
      <c r="M22" s="6">
        <f t="shared" si="2"/>
        <v>5</v>
      </c>
      <c r="N22" s="6">
        <f t="shared" si="2"/>
        <v>12</v>
      </c>
    </row>
    <row r="23" spans="2:22" ht="33" customHeight="1">
      <c r="B23" s="11" t="s">
        <v>112</v>
      </c>
      <c r="C23" s="16"/>
      <c r="D23" s="16">
        <f>D21/D22</f>
        <v>424</v>
      </c>
      <c r="E23" s="16">
        <f aca="true" t="shared" si="3" ref="E23:L23">E21/E22</f>
        <v>455.26666666666665</v>
      </c>
      <c r="F23" s="16">
        <f t="shared" si="3"/>
        <v>461.9166666666667</v>
      </c>
      <c r="G23" s="16">
        <f t="shared" si="3"/>
        <v>428</v>
      </c>
      <c r="H23" s="16"/>
      <c r="I23" s="16">
        <f t="shared" si="3"/>
        <v>451.5</v>
      </c>
      <c r="J23" s="16">
        <f t="shared" si="3"/>
        <v>407.5</v>
      </c>
      <c r="K23" s="16">
        <f t="shared" si="3"/>
        <v>447.3076923076923</v>
      </c>
      <c r="L23" s="16">
        <f t="shared" si="3"/>
        <v>435.15384615384613</v>
      </c>
      <c r="M23" s="16">
        <f>M21/M22</f>
        <v>418.4</v>
      </c>
      <c r="N23" s="16">
        <f>N21/N22</f>
        <v>436.25</v>
      </c>
      <c r="O23" s="3" t="s">
        <v>27</v>
      </c>
      <c r="P23" s="308" t="s">
        <v>102</v>
      </c>
      <c r="Q23" s="308"/>
      <c r="R23" s="3" t="s">
        <v>28</v>
      </c>
      <c r="S23" s="10" t="s">
        <v>103</v>
      </c>
      <c r="U23" s="13" t="s">
        <v>111</v>
      </c>
      <c r="V23" s="40" t="s">
        <v>192</v>
      </c>
    </row>
    <row r="24" spans="15:22" ht="15.75">
      <c r="O24" s="6">
        <f>SUM(O6:O20)</f>
        <v>39721</v>
      </c>
      <c r="P24" s="6">
        <f>SUM(P6:P20)</f>
        <v>86</v>
      </c>
      <c r="Q24" s="6">
        <f>SUM(Q6:Q20)</f>
        <v>34</v>
      </c>
      <c r="R24" s="6">
        <f>SUM(R6:R20)</f>
        <v>1602</v>
      </c>
      <c r="S24" s="6">
        <f>SUM(S6:S20)</f>
        <v>27</v>
      </c>
      <c r="U24" s="2">
        <f>P24-Q24</f>
        <v>52</v>
      </c>
      <c r="V24" s="2">
        <f>SUM(T21:V21)</f>
        <v>15</v>
      </c>
    </row>
    <row r="25" spans="3:11" ht="15.75">
      <c r="C25" s="309" t="s">
        <v>33</v>
      </c>
      <c r="D25" s="309"/>
      <c r="F25" s="311" t="s">
        <v>117</v>
      </c>
      <c r="G25" s="311"/>
      <c r="H25" s="311"/>
      <c r="I25" s="311"/>
      <c r="J25" s="310" t="s">
        <v>118</v>
      </c>
      <c r="K25" s="310"/>
    </row>
    <row r="26" spans="1:22" ht="16.5" thickBo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60"/>
      <c r="U26" s="60"/>
      <c r="V26" s="60"/>
    </row>
    <row r="27" spans="1:8" ht="15.75">
      <c r="A27" s="23"/>
      <c r="C27" s="21"/>
      <c r="D27" s="21"/>
      <c r="E27" s="22"/>
      <c r="F27" s="21"/>
      <c r="G27" s="21"/>
      <c r="H27" s="21"/>
    </row>
    <row r="28" spans="2:22" ht="32.25" thickBot="1">
      <c r="B28" s="3" t="s">
        <v>22</v>
      </c>
      <c r="C28" s="8" t="s">
        <v>34</v>
      </c>
      <c r="D28" s="8" t="s">
        <v>35</v>
      </c>
      <c r="E28" s="82" t="s">
        <v>247</v>
      </c>
      <c r="F28" s="8" t="s">
        <v>116</v>
      </c>
      <c r="G28" s="8" t="s">
        <v>45</v>
      </c>
      <c r="H28" s="8" t="s">
        <v>264</v>
      </c>
      <c r="I28" s="8" t="s">
        <v>37</v>
      </c>
      <c r="J28" s="8" t="s">
        <v>38</v>
      </c>
      <c r="K28" s="8" t="s">
        <v>97</v>
      </c>
      <c r="L28" s="8" t="s">
        <v>36</v>
      </c>
      <c r="M28" s="8" t="s">
        <v>110</v>
      </c>
      <c r="N28" s="8" t="s">
        <v>248</v>
      </c>
      <c r="O28" s="3" t="s">
        <v>27</v>
      </c>
      <c r="P28" s="3" t="s">
        <v>23</v>
      </c>
      <c r="Q28" s="3" t="s">
        <v>26</v>
      </c>
      <c r="R28" s="3" t="s">
        <v>28</v>
      </c>
      <c r="S28" s="10" t="s">
        <v>101</v>
      </c>
      <c r="T28" s="2" t="s">
        <v>162</v>
      </c>
      <c r="U28" s="2" t="s">
        <v>163</v>
      </c>
      <c r="V28" s="2" t="s">
        <v>164</v>
      </c>
    </row>
    <row r="29" spans="1:20" s="227" customFormat="1" ht="15.75">
      <c r="A29" s="227" t="s">
        <v>286</v>
      </c>
      <c r="B29" s="227" t="s">
        <v>15</v>
      </c>
      <c r="D29" s="225"/>
      <c r="E29" s="232">
        <v>439</v>
      </c>
      <c r="F29" s="225">
        <v>435</v>
      </c>
      <c r="G29" s="232">
        <v>447</v>
      </c>
      <c r="H29" s="225"/>
      <c r="I29" s="225"/>
      <c r="J29" s="225"/>
      <c r="K29" s="232">
        <v>450</v>
      </c>
      <c r="L29" s="232">
        <v>477</v>
      </c>
      <c r="M29" s="225"/>
      <c r="N29" s="232">
        <v>441</v>
      </c>
      <c r="O29" s="159">
        <f aca="true" t="shared" si="4" ref="O29:O43">SUM(C29:N29)</f>
        <v>2689</v>
      </c>
      <c r="P29" s="227">
        <v>7</v>
      </c>
      <c r="Q29" s="227">
        <v>1</v>
      </c>
      <c r="R29" s="227">
        <f>O29-2501</f>
        <v>188</v>
      </c>
      <c r="S29" s="227">
        <v>2</v>
      </c>
      <c r="T29" s="227">
        <v>1</v>
      </c>
    </row>
    <row r="30" spans="1:20" s="204" customFormat="1" ht="15.75">
      <c r="A30" s="204" t="s">
        <v>287</v>
      </c>
      <c r="B30" s="116" t="s">
        <v>218</v>
      </c>
      <c r="D30" s="224">
        <v>438</v>
      </c>
      <c r="E30" s="224">
        <v>475</v>
      </c>
      <c r="F30" s="220"/>
      <c r="G30" s="220"/>
      <c r="H30" s="220"/>
      <c r="I30" s="224">
        <v>430</v>
      </c>
      <c r="J30" s="220"/>
      <c r="K30" s="220">
        <v>409</v>
      </c>
      <c r="L30" s="224">
        <v>455</v>
      </c>
      <c r="M30" s="220"/>
      <c r="N30" s="224">
        <v>461</v>
      </c>
      <c r="O30" s="162">
        <f t="shared" si="4"/>
        <v>2668</v>
      </c>
      <c r="P30" s="204">
        <v>7</v>
      </c>
      <c r="Q30" s="204">
        <v>1</v>
      </c>
      <c r="R30" s="204">
        <f>O30-2562</f>
        <v>106</v>
      </c>
      <c r="S30" s="204">
        <v>2</v>
      </c>
      <c r="T30" s="204">
        <v>1</v>
      </c>
    </row>
    <row r="31" spans="1:20" s="227" customFormat="1" ht="15.75">
      <c r="A31" s="227" t="s">
        <v>136</v>
      </c>
      <c r="B31" s="225" t="s">
        <v>258</v>
      </c>
      <c r="D31" s="230">
        <v>418</v>
      </c>
      <c r="E31" s="230">
        <v>437</v>
      </c>
      <c r="F31" s="228"/>
      <c r="G31" s="228"/>
      <c r="H31" s="228"/>
      <c r="I31" s="228"/>
      <c r="J31" s="228"/>
      <c r="K31" s="230">
        <v>485</v>
      </c>
      <c r="L31" s="228">
        <v>415</v>
      </c>
      <c r="M31" s="230">
        <v>465</v>
      </c>
      <c r="N31" s="229">
        <v>415</v>
      </c>
      <c r="O31" s="159">
        <f t="shared" si="4"/>
        <v>2635</v>
      </c>
      <c r="P31" s="227">
        <v>6</v>
      </c>
      <c r="Q31" s="227">
        <v>2</v>
      </c>
      <c r="R31" s="227">
        <v>250</v>
      </c>
      <c r="S31" s="227">
        <v>2</v>
      </c>
      <c r="T31" s="227">
        <v>1</v>
      </c>
    </row>
    <row r="32" spans="1:20" s="204" customFormat="1" ht="15.75">
      <c r="A32" s="204" t="s">
        <v>137</v>
      </c>
      <c r="B32" s="220" t="s">
        <v>257</v>
      </c>
      <c r="D32" s="220">
        <v>400</v>
      </c>
      <c r="E32" s="224">
        <v>500</v>
      </c>
      <c r="F32" s="224">
        <v>446</v>
      </c>
      <c r="G32" s="220"/>
      <c r="H32" s="220"/>
      <c r="I32" s="220"/>
      <c r="J32" s="220"/>
      <c r="K32" s="220">
        <v>415</v>
      </c>
      <c r="L32" s="224">
        <v>474</v>
      </c>
      <c r="M32" s="220"/>
      <c r="N32" s="224">
        <v>466</v>
      </c>
      <c r="O32" s="162">
        <f t="shared" si="4"/>
        <v>2701</v>
      </c>
      <c r="P32" s="204">
        <v>6</v>
      </c>
      <c r="Q32" s="204">
        <v>2</v>
      </c>
      <c r="R32" s="204">
        <v>237</v>
      </c>
      <c r="S32" s="204">
        <v>2</v>
      </c>
      <c r="T32" s="204">
        <v>1</v>
      </c>
    </row>
    <row r="33" spans="1:20" s="227" customFormat="1" ht="15.75">
      <c r="A33" s="227" t="s">
        <v>138</v>
      </c>
      <c r="B33" s="225" t="s">
        <v>19</v>
      </c>
      <c r="C33" s="232">
        <v>198</v>
      </c>
      <c r="D33" s="225"/>
      <c r="E33" s="225">
        <v>411</v>
      </c>
      <c r="F33" s="232">
        <v>412</v>
      </c>
      <c r="G33" s="232">
        <v>420</v>
      </c>
      <c r="H33" s="225"/>
      <c r="I33" s="225"/>
      <c r="J33" s="225"/>
      <c r="K33" s="232">
        <v>229</v>
      </c>
      <c r="L33" s="225"/>
      <c r="M33" s="232">
        <v>443</v>
      </c>
      <c r="N33" s="232">
        <v>434</v>
      </c>
      <c r="O33" s="159">
        <f t="shared" si="4"/>
        <v>2547</v>
      </c>
      <c r="P33" s="227">
        <v>7</v>
      </c>
      <c r="Q33" s="227">
        <v>1</v>
      </c>
      <c r="R33" s="227">
        <v>182</v>
      </c>
      <c r="S33" s="227">
        <v>2</v>
      </c>
      <c r="T33" s="227">
        <v>1</v>
      </c>
    </row>
    <row r="34" spans="1:20" s="204" customFormat="1" ht="15.75">
      <c r="A34" s="204" t="s">
        <v>139</v>
      </c>
      <c r="B34" s="220" t="s">
        <v>220</v>
      </c>
      <c r="D34" s="220"/>
      <c r="E34" s="220">
        <v>443</v>
      </c>
      <c r="F34" s="220">
        <v>432</v>
      </c>
      <c r="G34" s="220"/>
      <c r="H34" s="220"/>
      <c r="I34" s="220"/>
      <c r="J34" s="220"/>
      <c r="K34" s="224">
        <v>449</v>
      </c>
      <c r="L34" s="224">
        <v>469</v>
      </c>
      <c r="M34" s="220">
        <v>432</v>
      </c>
      <c r="N34" s="224">
        <v>472</v>
      </c>
      <c r="O34" s="162">
        <f t="shared" si="4"/>
        <v>2697</v>
      </c>
      <c r="P34" s="204">
        <v>5</v>
      </c>
      <c r="Q34" s="204">
        <v>3</v>
      </c>
      <c r="R34" s="204">
        <v>116</v>
      </c>
      <c r="S34" s="204">
        <v>2</v>
      </c>
      <c r="T34" s="204">
        <v>1</v>
      </c>
    </row>
    <row r="35" spans="1:20" s="227" customFormat="1" ht="15.75">
      <c r="A35" s="227" t="s">
        <v>140</v>
      </c>
      <c r="B35" s="227" t="s">
        <v>219</v>
      </c>
      <c r="D35" s="225"/>
      <c r="E35" s="225">
        <v>443</v>
      </c>
      <c r="F35" s="232">
        <v>471</v>
      </c>
      <c r="G35" s="225"/>
      <c r="H35" s="225"/>
      <c r="I35" s="225">
        <v>415</v>
      </c>
      <c r="J35" s="225"/>
      <c r="K35" s="232">
        <v>449</v>
      </c>
      <c r="L35" s="232">
        <v>461</v>
      </c>
      <c r="M35" s="225"/>
      <c r="N35" s="225">
        <v>446</v>
      </c>
      <c r="O35" s="159">
        <f t="shared" si="4"/>
        <v>2685</v>
      </c>
      <c r="P35" s="227">
        <v>5</v>
      </c>
      <c r="Q35" s="227">
        <v>3</v>
      </c>
      <c r="R35" s="227">
        <v>26</v>
      </c>
      <c r="S35" s="227">
        <v>2</v>
      </c>
      <c r="T35" s="227">
        <v>1</v>
      </c>
    </row>
    <row r="36" spans="1:20" s="204" customFormat="1" ht="15.75">
      <c r="A36" s="204" t="s">
        <v>141</v>
      </c>
      <c r="B36" s="204" t="s">
        <v>18</v>
      </c>
      <c r="D36" s="220"/>
      <c r="E36" s="224">
        <v>475</v>
      </c>
      <c r="F36" s="220">
        <v>423</v>
      </c>
      <c r="G36" s="220"/>
      <c r="H36" s="220"/>
      <c r="I36" s="224">
        <v>446</v>
      </c>
      <c r="J36" s="220"/>
      <c r="K36" s="220"/>
      <c r="L36" s="224">
        <v>441</v>
      </c>
      <c r="M36" s="220">
        <v>418</v>
      </c>
      <c r="N36" s="224">
        <v>481</v>
      </c>
      <c r="O36" s="162">
        <f t="shared" si="4"/>
        <v>2684</v>
      </c>
      <c r="P36" s="204">
        <v>6</v>
      </c>
      <c r="Q36" s="204">
        <v>2</v>
      </c>
      <c r="R36" s="204">
        <v>36</v>
      </c>
      <c r="S36" s="204">
        <v>2</v>
      </c>
      <c r="T36" s="204">
        <v>1</v>
      </c>
    </row>
    <row r="37" spans="1:22" s="204" customFormat="1" ht="15.75">
      <c r="A37" s="204" t="s">
        <v>142</v>
      </c>
      <c r="B37" s="220" t="s">
        <v>180</v>
      </c>
      <c r="D37" s="220">
        <v>398</v>
      </c>
      <c r="E37" s="224">
        <v>429</v>
      </c>
      <c r="F37" s="220"/>
      <c r="G37" s="220">
        <v>365</v>
      </c>
      <c r="H37" s="220"/>
      <c r="I37" s="220"/>
      <c r="J37" s="224">
        <v>402</v>
      </c>
      <c r="K37" s="224">
        <v>422</v>
      </c>
      <c r="L37" s="220"/>
      <c r="M37" s="220"/>
      <c r="N37" s="220">
        <v>394</v>
      </c>
      <c r="O37" s="162">
        <f t="shared" si="4"/>
        <v>2410</v>
      </c>
      <c r="P37" s="204">
        <v>3</v>
      </c>
      <c r="Q37" s="204">
        <v>5</v>
      </c>
      <c r="R37" s="204">
        <v>-1</v>
      </c>
      <c r="S37" s="204">
        <v>0</v>
      </c>
      <c r="V37" s="204">
        <v>1</v>
      </c>
    </row>
    <row r="38" spans="1:20" s="227" customFormat="1" ht="15.75">
      <c r="A38" s="227" t="s">
        <v>143</v>
      </c>
      <c r="B38" s="225" t="s">
        <v>17</v>
      </c>
      <c r="D38" s="225"/>
      <c r="E38" s="232">
        <v>450</v>
      </c>
      <c r="F38" s="232">
        <v>453</v>
      </c>
      <c r="G38" s="225"/>
      <c r="H38" s="225"/>
      <c r="I38" s="225">
        <v>447</v>
      </c>
      <c r="J38" s="225"/>
      <c r="K38" s="225">
        <v>413</v>
      </c>
      <c r="L38" s="232">
        <v>459</v>
      </c>
      <c r="M38" s="225"/>
      <c r="N38" s="232">
        <v>447</v>
      </c>
      <c r="O38" s="159">
        <f t="shared" si="4"/>
        <v>2669</v>
      </c>
      <c r="P38" s="227">
        <v>6</v>
      </c>
      <c r="Q38" s="227">
        <v>2</v>
      </c>
      <c r="R38" s="227">
        <v>95</v>
      </c>
      <c r="S38" s="227">
        <v>2</v>
      </c>
      <c r="T38" s="227">
        <v>1</v>
      </c>
    </row>
    <row r="39" spans="1:20" s="204" customFormat="1" ht="15.75">
      <c r="A39" s="204" t="s">
        <v>144</v>
      </c>
      <c r="B39" s="204" t="s">
        <v>178</v>
      </c>
      <c r="D39" s="220"/>
      <c r="E39" s="224">
        <v>517</v>
      </c>
      <c r="F39" s="224">
        <v>462</v>
      </c>
      <c r="G39" s="220"/>
      <c r="H39" s="220"/>
      <c r="I39" s="224">
        <v>474</v>
      </c>
      <c r="J39" s="220"/>
      <c r="K39" s="220"/>
      <c r="L39" s="220">
        <v>435</v>
      </c>
      <c r="M39" s="224">
        <v>449</v>
      </c>
      <c r="N39" s="220">
        <v>422</v>
      </c>
      <c r="O39" s="162">
        <f t="shared" si="4"/>
        <v>2759</v>
      </c>
      <c r="P39" s="204">
        <v>6</v>
      </c>
      <c r="Q39" s="204">
        <v>2</v>
      </c>
      <c r="R39" s="204">
        <v>168</v>
      </c>
      <c r="S39" s="204">
        <v>2</v>
      </c>
      <c r="T39" s="204">
        <v>1</v>
      </c>
    </row>
    <row r="40" spans="1:20" s="227" customFormat="1" ht="15.75">
      <c r="A40" s="227" t="s">
        <v>145</v>
      </c>
      <c r="B40" s="225" t="s">
        <v>259</v>
      </c>
      <c r="C40" s="227">
        <v>404</v>
      </c>
      <c r="D40" s="225">
        <v>432</v>
      </c>
      <c r="E40" s="232">
        <v>446</v>
      </c>
      <c r="F40" s="232">
        <v>500</v>
      </c>
      <c r="G40" s="232">
        <v>434</v>
      </c>
      <c r="H40" s="225"/>
      <c r="I40" s="225"/>
      <c r="J40" s="225"/>
      <c r="K40" s="232">
        <v>465</v>
      </c>
      <c r="L40" s="225"/>
      <c r="M40" s="225"/>
      <c r="N40" s="225"/>
      <c r="O40" s="159">
        <f t="shared" si="4"/>
        <v>2681</v>
      </c>
      <c r="P40" s="227">
        <v>6</v>
      </c>
      <c r="Q40" s="227">
        <v>2</v>
      </c>
      <c r="R40" s="227">
        <v>188</v>
      </c>
      <c r="S40" s="227">
        <v>2</v>
      </c>
      <c r="T40" s="227">
        <v>1</v>
      </c>
    </row>
    <row r="41" spans="1:20" s="204" customFormat="1" ht="15.75">
      <c r="A41" s="204" t="s">
        <v>146</v>
      </c>
      <c r="B41" s="204" t="s">
        <v>20</v>
      </c>
      <c r="C41" s="204">
        <v>219</v>
      </c>
      <c r="D41" s="220"/>
      <c r="E41" s="220"/>
      <c r="F41" s="224">
        <v>456</v>
      </c>
      <c r="G41" s="220">
        <v>405</v>
      </c>
      <c r="H41" s="220"/>
      <c r="I41" s="220"/>
      <c r="J41" s="220">
        <v>203</v>
      </c>
      <c r="K41" s="224">
        <v>429</v>
      </c>
      <c r="L41" s="220"/>
      <c r="M41" s="224">
        <v>446</v>
      </c>
      <c r="N41" s="224">
        <v>445</v>
      </c>
      <c r="O41" s="162">
        <f t="shared" si="4"/>
        <v>2603</v>
      </c>
      <c r="P41" s="204">
        <v>6</v>
      </c>
      <c r="Q41" s="204">
        <v>2</v>
      </c>
      <c r="R41" s="204">
        <v>59</v>
      </c>
      <c r="S41" s="204">
        <v>2</v>
      </c>
      <c r="T41" s="204">
        <v>1</v>
      </c>
    </row>
    <row r="42" spans="1:22" s="227" customFormat="1" ht="15.75">
      <c r="A42" s="227" t="s">
        <v>147</v>
      </c>
      <c r="B42" s="225" t="s">
        <v>179</v>
      </c>
      <c r="D42" s="225">
        <v>402</v>
      </c>
      <c r="E42" s="232">
        <v>468</v>
      </c>
      <c r="F42" s="232">
        <v>457</v>
      </c>
      <c r="G42" s="225"/>
      <c r="H42" s="225"/>
      <c r="I42" s="225"/>
      <c r="J42" s="225"/>
      <c r="K42" s="225">
        <v>446</v>
      </c>
      <c r="L42" s="232">
        <v>453</v>
      </c>
      <c r="M42" s="225"/>
      <c r="N42" s="225">
        <v>414</v>
      </c>
      <c r="O42" s="159">
        <f t="shared" si="4"/>
        <v>2640</v>
      </c>
      <c r="P42" s="227">
        <v>3</v>
      </c>
      <c r="Q42" s="227">
        <v>5</v>
      </c>
      <c r="R42" s="227">
        <v>-85</v>
      </c>
      <c r="S42" s="227">
        <v>0</v>
      </c>
      <c r="V42" s="227">
        <v>1</v>
      </c>
    </row>
    <row r="43" spans="1:20" s="204" customFormat="1" ht="16.5" thickBot="1">
      <c r="A43" s="204" t="s">
        <v>148</v>
      </c>
      <c r="B43" s="220" t="s">
        <v>177</v>
      </c>
      <c r="C43" s="152"/>
      <c r="D43" s="125"/>
      <c r="E43" s="235">
        <v>502</v>
      </c>
      <c r="F43" s="125"/>
      <c r="G43" s="125">
        <v>412</v>
      </c>
      <c r="H43" s="125"/>
      <c r="I43" s="235">
        <v>438</v>
      </c>
      <c r="J43" s="125"/>
      <c r="K43" s="125">
        <v>421</v>
      </c>
      <c r="L43" s="125"/>
      <c r="M43" s="235">
        <v>445</v>
      </c>
      <c r="N43" s="299">
        <v>478</v>
      </c>
      <c r="O43" s="162">
        <f t="shared" si="4"/>
        <v>2696</v>
      </c>
      <c r="P43" s="204">
        <v>6</v>
      </c>
      <c r="Q43" s="204">
        <v>2</v>
      </c>
      <c r="R43" s="204">
        <v>225</v>
      </c>
      <c r="S43" s="204">
        <v>2</v>
      </c>
      <c r="T43" s="204">
        <v>1</v>
      </c>
    </row>
    <row r="44" spans="3:22" ht="16.5" thickTop="1">
      <c r="C44" s="7">
        <f>SUM(C29:C32)+SUM(C34:C40)</f>
        <v>404</v>
      </c>
      <c r="D44" s="7">
        <f>SUM(D29:D43)</f>
        <v>2488</v>
      </c>
      <c r="E44" s="7">
        <f>SUM(E29:E36)+SUM(E38:E43)</f>
        <v>6006</v>
      </c>
      <c r="F44" s="7">
        <f aca="true" t="shared" si="5" ref="F44:L44">SUM(F29:F43)</f>
        <v>4947</v>
      </c>
      <c r="G44" s="7">
        <f t="shared" si="5"/>
        <v>2483</v>
      </c>
      <c r="H44" s="7">
        <f t="shared" si="5"/>
        <v>0</v>
      </c>
      <c r="I44" s="7">
        <f t="shared" si="5"/>
        <v>2650</v>
      </c>
      <c r="J44" s="7">
        <f>SUM(J29:J40)+SUM(J42:J43)</f>
        <v>402</v>
      </c>
      <c r="K44" s="7">
        <f>SUM(K29:K32)+SUM(K34:K43)</f>
        <v>5253</v>
      </c>
      <c r="L44" s="7">
        <f t="shared" si="5"/>
        <v>4539</v>
      </c>
      <c r="M44" s="7">
        <f>SUM(M29:M36)+SUM(M38:M43)</f>
        <v>3098</v>
      </c>
      <c r="N44" s="7">
        <f>SUM(N29:N43)</f>
        <v>6216</v>
      </c>
      <c r="P44" s="1">
        <f>SUM(P29:P43)</f>
        <v>85</v>
      </c>
      <c r="Q44" s="1">
        <f>SUM(Q29:Q43)</f>
        <v>35</v>
      </c>
      <c r="R44" s="1">
        <f>SUM(R29:R43)</f>
        <v>1790</v>
      </c>
      <c r="S44" s="1">
        <f>SUM(S29:S43)</f>
        <v>26</v>
      </c>
      <c r="T44" s="2">
        <f>SUM(T29:T43)+T21</f>
        <v>26</v>
      </c>
      <c r="U44" s="2">
        <f>SUM(U29:U43)+U21</f>
        <v>1</v>
      </c>
      <c r="V44" s="2">
        <f>SUM(V29:V43)+V21</f>
        <v>3</v>
      </c>
    </row>
    <row r="45" spans="2:14" ht="15.75">
      <c r="B45" s="36" t="s">
        <v>213</v>
      </c>
      <c r="C45" s="7">
        <f>COUNT(C29:C36)+COUNT(C38:C43)</f>
        <v>3</v>
      </c>
      <c r="D45" s="1">
        <f>COUNT(D29:D43)</f>
        <v>6</v>
      </c>
      <c r="E45" s="7">
        <f>COUNT(E29:E36)+COUNT(E38:E43)</f>
        <v>13</v>
      </c>
      <c r="F45" s="1">
        <f aca="true" t="shared" si="6" ref="F45:L45">COUNT(F29:F43)</f>
        <v>11</v>
      </c>
      <c r="G45" s="1">
        <f t="shared" si="6"/>
        <v>6</v>
      </c>
      <c r="H45" s="1">
        <f t="shared" si="6"/>
        <v>0</v>
      </c>
      <c r="I45" s="1">
        <f t="shared" si="6"/>
        <v>6</v>
      </c>
      <c r="J45" s="7">
        <f>COUNT(J29:J40)+COUNT(J42:J43)</f>
        <v>1</v>
      </c>
      <c r="K45" s="1">
        <f>COUNT(K29:K32)+COUNT(K34:K43)</f>
        <v>12</v>
      </c>
      <c r="L45" s="1">
        <f t="shared" si="6"/>
        <v>10</v>
      </c>
      <c r="M45" s="7">
        <f>COUNT(M29:M36)+COUNT(M38:M43)</f>
        <v>7</v>
      </c>
      <c r="N45" s="1">
        <f>COUNT(N29:N43)</f>
        <v>14</v>
      </c>
    </row>
    <row r="46" spans="2:22" ht="31.5">
      <c r="B46" s="11" t="s">
        <v>212</v>
      </c>
      <c r="C46" s="16">
        <f>C44/C45</f>
        <v>134.66666666666666</v>
      </c>
      <c r="D46" s="16">
        <f>D44/D45</f>
        <v>414.6666666666667</v>
      </c>
      <c r="E46" s="16">
        <f>E44/E45</f>
        <v>462</v>
      </c>
      <c r="F46" s="16">
        <f>F44/F45</f>
        <v>449.72727272727275</v>
      </c>
      <c r="G46" s="16">
        <f>G44/G45</f>
        <v>413.8333333333333</v>
      </c>
      <c r="H46" s="16" t="e">
        <f aca="true" t="shared" si="7" ref="H46:M46">H44/H45</f>
        <v>#DIV/0!</v>
      </c>
      <c r="I46" s="16">
        <f t="shared" si="7"/>
        <v>441.6666666666667</v>
      </c>
      <c r="J46" s="16">
        <f t="shared" si="7"/>
        <v>402</v>
      </c>
      <c r="K46" s="16">
        <f t="shared" si="7"/>
        <v>437.75</v>
      </c>
      <c r="L46" s="16">
        <f t="shared" si="7"/>
        <v>453.9</v>
      </c>
      <c r="M46" s="16">
        <f t="shared" si="7"/>
        <v>442.57142857142856</v>
      </c>
      <c r="N46" s="16">
        <f>N44/N45</f>
        <v>444</v>
      </c>
      <c r="O46" s="3" t="s">
        <v>27</v>
      </c>
      <c r="P46" s="308" t="s">
        <v>102</v>
      </c>
      <c r="Q46" s="308"/>
      <c r="R46" s="3" t="s">
        <v>28</v>
      </c>
      <c r="S46" s="10" t="s">
        <v>103</v>
      </c>
      <c r="U46" s="13" t="s">
        <v>111</v>
      </c>
      <c r="V46" s="40" t="s">
        <v>192</v>
      </c>
    </row>
    <row r="47" spans="15:22" ht="15.75">
      <c r="O47" s="6">
        <f>SUM(O29:O43)+O24</f>
        <v>79485</v>
      </c>
      <c r="P47" s="6">
        <f>SUM(P29:P43)+P24</f>
        <v>171</v>
      </c>
      <c r="Q47" s="6">
        <f>SUM(Q29:Q43)+Q24</f>
        <v>69</v>
      </c>
      <c r="R47" s="6">
        <f>SUM(R29:R43)</f>
        <v>1790</v>
      </c>
      <c r="S47" s="6">
        <f>SUM(S29:S43)+S24</f>
        <v>53</v>
      </c>
      <c r="U47" s="26">
        <f>P47-Q47</f>
        <v>102</v>
      </c>
      <c r="V47" s="2">
        <f>SUM(T44:V44)</f>
        <v>30</v>
      </c>
    </row>
    <row r="49" spans="15:16" ht="15.75">
      <c r="O49" s="1" t="s">
        <v>113</v>
      </c>
      <c r="P49" s="18">
        <f>O47/V47</f>
        <v>2649.5</v>
      </c>
    </row>
  </sheetData>
  <sheetProtection/>
  <mergeCells count="11">
    <mergeCell ref="M1:N1"/>
    <mergeCell ref="C4:N4"/>
    <mergeCell ref="E1:F1"/>
    <mergeCell ref="J1:K1"/>
    <mergeCell ref="M2:N2"/>
    <mergeCell ref="C25:D25"/>
    <mergeCell ref="P4:Q4"/>
    <mergeCell ref="P46:Q46"/>
    <mergeCell ref="F25:I25"/>
    <mergeCell ref="J25:K25"/>
    <mergeCell ref="P23:Q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49"/>
  <sheetViews>
    <sheetView zoomScale="90" zoomScaleNormal="90" zoomScalePageLayoutView="0" workbookViewId="0" topLeftCell="A26">
      <selection activeCell="F43" sqref="E43:F43"/>
    </sheetView>
  </sheetViews>
  <sheetFormatPr defaultColWidth="9.00390625" defaultRowHeight="12.75"/>
  <cols>
    <col min="1" max="1" width="11.25390625" style="4" bestFit="1" customWidth="1"/>
    <col min="2" max="2" width="21.00390625" style="4" bestFit="1" customWidth="1"/>
    <col min="3" max="3" width="12.375" style="4" customWidth="1"/>
    <col min="4" max="5" width="9.625" style="4" customWidth="1"/>
    <col min="6" max="6" width="10.125" style="4" customWidth="1"/>
    <col min="7" max="7" width="7.25390625" style="4" bestFit="1" customWidth="1"/>
    <col min="8" max="8" width="9.125" style="4" customWidth="1"/>
    <col min="9" max="11" width="9.75390625" style="4" customWidth="1"/>
    <col min="12" max="12" width="11.125" style="4" customWidth="1"/>
    <col min="13" max="13" width="10.125" style="4" customWidth="1"/>
    <col min="14" max="14" width="18.25390625" style="1" bestFit="1" customWidth="1"/>
    <col min="15" max="15" width="16.375" style="1" customWidth="1"/>
    <col min="16" max="16" width="10.375" style="1" customWidth="1"/>
    <col min="17" max="17" width="13.375" style="1" customWidth="1"/>
    <col min="18" max="18" width="11.875" style="1" customWidth="1"/>
    <col min="20" max="20" width="12.00390625" style="0" customWidth="1"/>
    <col min="21" max="21" width="10.75390625" style="0" customWidth="1"/>
  </cols>
  <sheetData>
    <row r="1" spans="1:18" ht="15.75">
      <c r="A1" s="27" t="s">
        <v>125</v>
      </c>
      <c r="B1" s="28"/>
      <c r="C1" s="28" t="s">
        <v>227</v>
      </c>
      <c r="D1" s="28" t="s">
        <v>129</v>
      </c>
      <c r="E1" s="28"/>
      <c r="F1" s="28"/>
      <c r="G1" s="306" t="s">
        <v>228</v>
      </c>
      <c r="H1" s="306"/>
      <c r="I1" s="306"/>
      <c r="J1" s="28"/>
      <c r="K1" s="28"/>
      <c r="L1" s="301" t="s">
        <v>134</v>
      </c>
      <c r="M1" s="301"/>
      <c r="N1" s="11" t="s">
        <v>135</v>
      </c>
      <c r="O1" s="13" t="s">
        <v>111</v>
      </c>
      <c r="Q1" s="61" t="s">
        <v>113</v>
      </c>
      <c r="R1" s="18">
        <f>N24/U24</f>
        <v>2597.6666666666665</v>
      </c>
    </row>
    <row r="2" spans="12:18" ht="15.75">
      <c r="L2" s="6">
        <f>O24+O47</f>
        <v>147</v>
      </c>
      <c r="M2" s="6">
        <f>P24+P47</f>
        <v>93</v>
      </c>
      <c r="N2" s="6">
        <f>R24+R44</f>
        <v>43</v>
      </c>
      <c r="O2" s="1">
        <f>L2-M2</f>
        <v>54</v>
      </c>
      <c r="Q2" s="61" t="s">
        <v>198</v>
      </c>
      <c r="R2" s="6">
        <f>N6+N8+N9+N11+N13+N15+N17+N19+N30+N32+N35+N37+N39+N41+N43</f>
        <v>38989</v>
      </c>
    </row>
    <row r="4" spans="3:21" ht="15.75">
      <c r="C4" s="313" t="s">
        <v>24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O4" s="308" t="s">
        <v>25</v>
      </c>
      <c r="P4" s="308"/>
      <c r="S4" s="2"/>
      <c r="T4" s="2"/>
      <c r="U4" s="2"/>
    </row>
    <row r="5" spans="2:21" ht="35.25" customHeight="1" thickBot="1">
      <c r="B5" s="5" t="s">
        <v>22</v>
      </c>
      <c r="C5" s="59" t="s">
        <v>229</v>
      </c>
      <c r="D5" s="59" t="s">
        <v>230</v>
      </c>
      <c r="E5" s="82" t="s">
        <v>243</v>
      </c>
      <c r="F5" s="59" t="s">
        <v>231</v>
      </c>
      <c r="G5" s="59" t="s">
        <v>232</v>
      </c>
      <c r="H5" s="59" t="s">
        <v>181</v>
      </c>
      <c r="I5" s="59" t="s">
        <v>233</v>
      </c>
      <c r="J5" s="71" t="s">
        <v>236</v>
      </c>
      <c r="K5" s="70" t="s">
        <v>242</v>
      </c>
      <c r="L5" s="59" t="s">
        <v>246</v>
      </c>
      <c r="M5" s="59"/>
      <c r="N5" s="3" t="s">
        <v>27</v>
      </c>
      <c r="O5" s="3" t="s">
        <v>219</v>
      </c>
      <c r="P5" s="3" t="s">
        <v>26</v>
      </c>
      <c r="Q5" s="3" t="s">
        <v>28</v>
      </c>
      <c r="R5" s="10" t="s">
        <v>101</v>
      </c>
      <c r="S5" s="2" t="s">
        <v>162</v>
      </c>
      <c r="T5" s="2" t="s">
        <v>163</v>
      </c>
      <c r="U5" s="2" t="s">
        <v>164</v>
      </c>
    </row>
    <row r="6" spans="1:21" s="115" customFormat="1" ht="15.75">
      <c r="A6" s="121" t="s">
        <v>0</v>
      </c>
      <c r="B6" s="114" t="s">
        <v>180</v>
      </c>
      <c r="C6" s="116"/>
      <c r="D6" s="114">
        <v>385</v>
      </c>
      <c r="E6" s="177">
        <v>420</v>
      </c>
      <c r="F6" s="114">
        <v>368</v>
      </c>
      <c r="G6" s="181">
        <v>401</v>
      </c>
      <c r="H6" s="116"/>
      <c r="I6" s="116"/>
      <c r="J6" s="116">
        <v>379</v>
      </c>
      <c r="K6" s="116"/>
      <c r="L6" s="181">
        <v>405</v>
      </c>
      <c r="M6" s="116"/>
      <c r="N6" s="167">
        <f>SUM(C6:M6)</f>
        <v>2358</v>
      </c>
      <c r="O6" s="113">
        <v>3</v>
      </c>
      <c r="P6" s="113">
        <v>5</v>
      </c>
      <c r="Q6" s="113">
        <v>-100</v>
      </c>
      <c r="R6" s="113">
        <v>0</v>
      </c>
      <c r="S6" s="119"/>
      <c r="T6" s="119"/>
      <c r="U6" s="119">
        <v>1</v>
      </c>
    </row>
    <row r="7" spans="1:21" s="100" customFormat="1" ht="15.75">
      <c r="A7" s="144" t="s">
        <v>1</v>
      </c>
      <c r="B7" s="100" t="s">
        <v>23</v>
      </c>
      <c r="C7" s="101"/>
      <c r="D7" s="96"/>
      <c r="E7" s="96">
        <v>443</v>
      </c>
      <c r="F7" s="96">
        <v>426</v>
      </c>
      <c r="G7" s="174">
        <v>445</v>
      </c>
      <c r="H7" s="101">
        <v>385</v>
      </c>
      <c r="I7" s="101">
        <v>431</v>
      </c>
      <c r="J7" s="101"/>
      <c r="K7" s="101"/>
      <c r="L7" s="179">
        <v>479</v>
      </c>
      <c r="M7" s="101"/>
      <c r="N7" s="164">
        <f aca="true" t="shared" si="0" ref="N7:N20">SUM(C7:M7)</f>
        <v>2609</v>
      </c>
      <c r="O7" s="100">
        <v>2</v>
      </c>
      <c r="P7" s="100">
        <v>6</v>
      </c>
      <c r="Q7" s="100">
        <v>-111</v>
      </c>
      <c r="R7" s="100">
        <v>0</v>
      </c>
      <c r="U7" s="100">
        <v>1</v>
      </c>
    </row>
    <row r="8" spans="1:19" s="120" customFormat="1" ht="15.75">
      <c r="A8" s="135" t="s">
        <v>2</v>
      </c>
      <c r="B8" s="114" t="s">
        <v>18</v>
      </c>
      <c r="C8" s="116"/>
      <c r="D8" s="114"/>
      <c r="E8" s="181">
        <v>457</v>
      </c>
      <c r="F8" s="177">
        <v>438</v>
      </c>
      <c r="G8" s="181">
        <v>432</v>
      </c>
      <c r="H8" s="116"/>
      <c r="I8" s="116">
        <v>421</v>
      </c>
      <c r="J8" s="181">
        <v>444</v>
      </c>
      <c r="K8" s="116"/>
      <c r="L8" s="177">
        <v>467</v>
      </c>
      <c r="M8" s="116"/>
      <c r="N8" s="168">
        <f t="shared" si="0"/>
        <v>2659</v>
      </c>
      <c r="O8" s="120">
        <v>7</v>
      </c>
      <c r="P8" s="120">
        <v>1</v>
      </c>
      <c r="Q8" s="132">
        <v>157</v>
      </c>
      <c r="R8" s="120">
        <v>2</v>
      </c>
      <c r="S8" s="120">
        <v>1</v>
      </c>
    </row>
    <row r="9" spans="1:19" s="120" customFormat="1" ht="15.75">
      <c r="A9" s="135" t="s">
        <v>3</v>
      </c>
      <c r="B9" s="120" t="s">
        <v>220</v>
      </c>
      <c r="C9" s="116"/>
      <c r="D9" s="177">
        <v>431</v>
      </c>
      <c r="E9" s="177">
        <v>464</v>
      </c>
      <c r="F9" s="114"/>
      <c r="G9" s="116">
        <v>402</v>
      </c>
      <c r="H9" s="116"/>
      <c r="I9" s="181">
        <v>458</v>
      </c>
      <c r="J9" s="181">
        <v>429</v>
      </c>
      <c r="K9" s="116"/>
      <c r="L9" s="116">
        <v>424</v>
      </c>
      <c r="N9" s="168">
        <f t="shared" si="0"/>
        <v>2608</v>
      </c>
      <c r="O9" s="120">
        <v>6</v>
      </c>
      <c r="P9" s="120">
        <v>2</v>
      </c>
      <c r="Q9" s="132">
        <f>N9-2543</f>
        <v>65</v>
      </c>
      <c r="R9" s="120">
        <v>2</v>
      </c>
      <c r="S9" s="120">
        <v>1</v>
      </c>
    </row>
    <row r="10" spans="1:19" s="100" customFormat="1" ht="15.75">
      <c r="A10" s="144" t="s">
        <v>4</v>
      </c>
      <c r="B10" s="96" t="s">
        <v>19</v>
      </c>
      <c r="C10" s="101"/>
      <c r="D10" s="179">
        <v>448</v>
      </c>
      <c r="E10" s="179">
        <v>471</v>
      </c>
      <c r="F10" s="179">
        <v>432</v>
      </c>
      <c r="G10" s="101"/>
      <c r="H10" s="174">
        <v>450</v>
      </c>
      <c r="I10" s="101"/>
      <c r="J10" s="101">
        <v>427</v>
      </c>
      <c r="K10" s="101"/>
      <c r="L10" s="101">
        <v>428</v>
      </c>
      <c r="N10" s="164">
        <f t="shared" si="0"/>
        <v>2656</v>
      </c>
      <c r="O10" s="100">
        <v>6</v>
      </c>
      <c r="P10" s="100">
        <v>2</v>
      </c>
      <c r="Q10" s="99">
        <v>149</v>
      </c>
      <c r="R10" s="100">
        <v>2</v>
      </c>
      <c r="S10" s="100">
        <v>1</v>
      </c>
    </row>
    <row r="11" spans="1:19" s="120" customFormat="1" ht="15.75">
      <c r="A11" s="135" t="s">
        <v>5</v>
      </c>
      <c r="B11" s="114" t="s">
        <v>257</v>
      </c>
      <c r="C11" s="116"/>
      <c r="D11" s="177">
        <v>433</v>
      </c>
      <c r="E11" s="177">
        <v>456</v>
      </c>
      <c r="F11" s="114"/>
      <c r="G11" s="116">
        <v>415</v>
      </c>
      <c r="H11" s="181">
        <v>438</v>
      </c>
      <c r="I11" s="181">
        <v>434</v>
      </c>
      <c r="J11" s="116"/>
      <c r="K11" s="116"/>
      <c r="L11" s="181">
        <v>438</v>
      </c>
      <c r="M11" s="116"/>
      <c r="N11" s="168">
        <f t="shared" si="0"/>
        <v>2614</v>
      </c>
      <c r="O11" s="120">
        <v>7</v>
      </c>
      <c r="P11" s="120">
        <v>1</v>
      </c>
      <c r="Q11" s="132">
        <f>N11-2340</f>
        <v>274</v>
      </c>
      <c r="R11" s="120">
        <v>2</v>
      </c>
      <c r="S11" s="120">
        <v>1</v>
      </c>
    </row>
    <row r="12" spans="1:19" s="100" customFormat="1" ht="15.75">
      <c r="A12" s="144" t="s">
        <v>6</v>
      </c>
      <c r="B12" s="96" t="s">
        <v>258</v>
      </c>
      <c r="C12" s="101"/>
      <c r="D12" s="96"/>
      <c r="E12" s="179">
        <v>444</v>
      </c>
      <c r="F12" s="179">
        <v>436</v>
      </c>
      <c r="G12" s="101"/>
      <c r="H12" s="101">
        <v>412</v>
      </c>
      <c r="I12" s="101">
        <v>403</v>
      </c>
      <c r="J12" s="174">
        <v>479</v>
      </c>
      <c r="K12" s="101"/>
      <c r="L12" s="174">
        <v>468</v>
      </c>
      <c r="M12" s="101"/>
      <c r="N12" s="164">
        <f t="shared" si="0"/>
        <v>2642</v>
      </c>
      <c r="O12" s="100">
        <v>6</v>
      </c>
      <c r="P12" s="100">
        <v>2</v>
      </c>
      <c r="Q12" s="99">
        <v>51</v>
      </c>
      <c r="R12" s="100">
        <v>2</v>
      </c>
      <c r="S12" s="100">
        <v>1</v>
      </c>
    </row>
    <row r="13" spans="1:19" s="120" customFormat="1" ht="15.75">
      <c r="A13" s="135" t="s">
        <v>7</v>
      </c>
      <c r="B13" s="116" t="s">
        <v>218</v>
      </c>
      <c r="C13" s="116"/>
      <c r="D13" s="114">
        <v>386</v>
      </c>
      <c r="E13" s="114">
        <v>432</v>
      </c>
      <c r="F13" s="177">
        <v>455</v>
      </c>
      <c r="G13" s="181">
        <v>440</v>
      </c>
      <c r="H13" s="116"/>
      <c r="I13" s="116"/>
      <c r="J13" s="181">
        <v>457</v>
      </c>
      <c r="K13" s="116"/>
      <c r="L13" s="181">
        <v>469</v>
      </c>
      <c r="M13" s="116"/>
      <c r="N13" s="168">
        <f t="shared" si="0"/>
        <v>2639</v>
      </c>
      <c r="O13" s="120">
        <v>6</v>
      </c>
      <c r="P13" s="120">
        <v>2</v>
      </c>
      <c r="Q13" s="132">
        <v>155</v>
      </c>
      <c r="R13" s="120">
        <v>2</v>
      </c>
      <c r="S13" s="120">
        <v>1</v>
      </c>
    </row>
    <row r="14" spans="1:21" s="100" customFormat="1" ht="15.75">
      <c r="A14" s="144" t="s">
        <v>8</v>
      </c>
      <c r="B14" s="100" t="s">
        <v>15</v>
      </c>
      <c r="C14" s="101"/>
      <c r="D14" s="101"/>
      <c r="E14" s="174">
        <v>453</v>
      </c>
      <c r="F14" s="101">
        <v>423</v>
      </c>
      <c r="G14" s="101">
        <v>415</v>
      </c>
      <c r="H14" s="101"/>
      <c r="I14" s="101">
        <v>402</v>
      </c>
      <c r="J14" s="101">
        <v>415</v>
      </c>
      <c r="K14" s="101"/>
      <c r="L14" s="174">
        <v>437</v>
      </c>
      <c r="N14" s="164">
        <f t="shared" si="0"/>
        <v>2545</v>
      </c>
      <c r="O14" s="100">
        <v>2</v>
      </c>
      <c r="P14" s="100">
        <v>6</v>
      </c>
      <c r="Q14" s="100">
        <v>-31</v>
      </c>
      <c r="R14" s="100">
        <v>0</v>
      </c>
      <c r="U14" s="100">
        <v>1</v>
      </c>
    </row>
    <row r="15" spans="1:21" s="120" customFormat="1" ht="15.75">
      <c r="A15" s="135" t="s">
        <v>9</v>
      </c>
      <c r="B15" s="114" t="s">
        <v>177</v>
      </c>
      <c r="C15" s="116"/>
      <c r="D15" s="116"/>
      <c r="E15" s="181">
        <v>487</v>
      </c>
      <c r="F15" s="116">
        <v>432</v>
      </c>
      <c r="G15" s="181">
        <v>450</v>
      </c>
      <c r="H15" s="116"/>
      <c r="I15" s="116">
        <v>445</v>
      </c>
      <c r="J15" s="181">
        <v>452</v>
      </c>
      <c r="K15" s="116"/>
      <c r="L15" s="116">
        <v>443</v>
      </c>
      <c r="M15" s="117"/>
      <c r="N15" s="168">
        <f t="shared" si="0"/>
        <v>2709</v>
      </c>
      <c r="O15" s="135">
        <v>5</v>
      </c>
      <c r="P15" s="135">
        <v>3</v>
      </c>
      <c r="Q15" s="135">
        <v>78</v>
      </c>
      <c r="R15" s="135">
        <v>2</v>
      </c>
      <c r="S15" s="135">
        <v>1</v>
      </c>
      <c r="T15" s="135"/>
      <c r="U15" s="135"/>
    </row>
    <row r="16" spans="1:20" s="100" customFormat="1" ht="15.75">
      <c r="A16" s="144" t="s">
        <v>10</v>
      </c>
      <c r="B16" s="96" t="s">
        <v>179</v>
      </c>
      <c r="C16" s="101"/>
      <c r="D16" s="96"/>
      <c r="E16" s="232">
        <v>473</v>
      </c>
      <c r="F16" s="232">
        <v>442</v>
      </c>
      <c r="G16" s="101">
        <v>424</v>
      </c>
      <c r="H16" s="101"/>
      <c r="I16" s="101">
        <v>405</v>
      </c>
      <c r="J16" s="101">
        <v>420</v>
      </c>
      <c r="K16" s="101"/>
      <c r="L16" s="230">
        <v>455</v>
      </c>
      <c r="M16" s="101"/>
      <c r="N16" s="164">
        <f t="shared" si="0"/>
        <v>2619</v>
      </c>
      <c r="O16" s="100">
        <v>4</v>
      </c>
      <c r="P16" s="100">
        <v>4</v>
      </c>
      <c r="Q16" s="99">
        <v>0</v>
      </c>
      <c r="R16" s="100">
        <v>1</v>
      </c>
      <c r="T16" s="100">
        <v>1</v>
      </c>
    </row>
    <row r="17" spans="1:19" s="120" customFormat="1" ht="15.75">
      <c r="A17" s="135" t="s">
        <v>11</v>
      </c>
      <c r="B17" s="114" t="s">
        <v>20</v>
      </c>
      <c r="C17" s="116"/>
      <c r="D17" s="224">
        <v>444</v>
      </c>
      <c r="E17" s="220"/>
      <c r="F17" s="224">
        <v>448</v>
      </c>
      <c r="G17" s="181">
        <v>457</v>
      </c>
      <c r="H17" s="116"/>
      <c r="I17" s="116">
        <v>426</v>
      </c>
      <c r="J17" s="116">
        <v>408</v>
      </c>
      <c r="K17" s="116"/>
      <c r="L17" s="181">
        <v>448</v>
      </c>
      <c r="M17" s="220"/>
      <c r="N17" s="168">
        <f t="shared" si="0"/>
        <v>2631</v>
      </c>
      <c r="O17" s="120">
        <v>6</v>
      </c>
      <c r="P17" s="120">
        <v>2</v>
      </c>
      <c r="Q17" s="120">
        <v>62</v>
      </c>
      <c r="R17" s="120">
        <v>2</v>
      </c>
      <c r="S17" s="120">
        <v>1</v>
      </c>
    </row>
    <row r="18" spans="1:19" s="100" customFormat="1" ht="15.75">
      <c r="A18" s="144" t="s">
        <v>12</v>
      </c>
      <c r="B18" s="96" t="s">
        <v>259</v>
      </c>
      <c r="C18" s="101"/>
      <c r="D18" s="232">
        <v>448</v>
      </c>
      <c r="E18" s="96"/>
      <c r="F18" s="96"/>
      <c r="G18" s="230">
        <v>445</v>
      </c>
      <c r="H18" s="101">
        <v>421</v>
      </c>
      <c r="I18" s="101">
        <v>397</v>
      </c>
      <c r="J18" s="101">
        <v>410</v>
      </c>
      <c r="K18" s="101"/>
      <c r="L18" s="230">
        <v>476</v>
      </c>
      <c r="M18" s="101"/>
      <c r="N18" s="164">
        <f t="shared" si="0"/>
        <v>2597</v>
      </c>
      <c r="O18" s="100">
        <v>5</v>
      </c>
      <c r="P18" s="100">
        <v>3</v>
      </c>
      <c r="Q18" s="99">
        <v>27</v>
      </c>
      <c r="R18" s="100">
        <v>2</v>
      </c>
      <c r="S18" s="100">
        <v>1</v>
      </c>
    </row>
    <row r="19" spans="1:21" s="120" customFormat="1" ht="15.75">
      <c r="A19" s="135" t="s">
        <v>13</v>
      </c>
      <c r="B19" s="114" t="s">
        <v>178</v>
      </c>
      <c r="C19" s="116"/>
      <c r="D19" s="114">
        <v>423</v>
      </c>
      <c r="E19" s="224">
        <v>466</v>
      </c>
      <c r="F19" s="114">
        <v>191</v>
      </c>
      <c r="G19" s="116">
        <v>411</v>
      </c>
      <c r="H19" s="116">
        <v>157</v>
      </c>
      <c r="I19" s="116"/>
      <c r="J19" s="181">
        <v>438</v>
      </c>
      <c r="K19" s="116"/>
      <c r="L19" s="116">
        <v>408</v>
      </c>
      <c r="M19" s="116"/>
      <c r="N19" s="168">
        <f t="shared" si="0"/>
        <v>2494</v>
      </c>
      <c r="O19" s="120">
        <v>2</v>
      </c>
      <c r="P19" s="120">
        <v>6</v>
      </c>
      <c r="Q19" s="205">
        <f>N19-2681</f>
        <v>-187</v>
      </c>
      <c r="R19" s="120">
        <v>0</v>
      </c>
      <c r="U19" s="120">
        <v>1</v>
      </c>
    </row>
    <row r="20" spans="1:21" s="100" customFormat="1" ht="16.5" thickBot="1">
      <c r="A20" s="144" t="s">
        <v>14</v>
      </c>
      <c r="B20" s="100" t="s">
        <v>17</v>
      </c>
      <c r="C20" s="108"/>
      <c r="D20" s="108">
        <v>189</v>
      </c>
      <c r="E20" s="236">
        <v>445</v>
      </c>
      <c r="F20" s="236">
        <v>447</v>
      </c>
      <c r="G20" s="236">
        <v>456</v>
      </c>
      <c r="H20" s="108">
        <v>200</v>
      </c>
      <c r="I20" s="108"/>
      <c r="J20" s="108">
        <v>435</v>
      </c>
      <c r="K20" s="108"/>
      <c r="L20" s="108">
        <v>413</v>
      </c>
      <c r="M20" s="108"/>
      <c r="N20" s="165">
        <f t="shared" si="0"/>
        <v>2585</v>
      </c>
      <c r="O20" s="145">
        <v>3</v>
      </c>
      <c r="P20" s="145">
        <v>5</v>
      </c>
      <c r="Q20" s="150">
        <f>N20-2605</f>
        <v>-20</v>
      </c>
      <c r="R20" s="145">
        <v>0</v>
      </c>
      <c r="S20" s="145"/>
      <c r="T20" s="145"/>
      <c r="U20" s="145">
        <v>1</v>
      </c>
    </row>
    <row r="21" spans="1:21" s="20" customFormat="1" ht="16.5" thickTop="1">
      <c r="A21" s="21"/>
      <c r="B21" s="21"/>
      <c r="C21" s="35">
        <f>SUM(C6:C20)</f>
        <v>0</v>
      </c>
      <c r="D21" s="35">
        <f>SUM(D6:D19)</f>
        <v>3398</v>
      </c>
      <c r="E21" s="35">
        <f>SUM(E6:E20)</f>
        <v>5911</v>
      </c>
      <c r="F21" s="35">
        <f>SUM(F6:F18)+SUM(F20)</f>
        <v>4747</v>
      </c>
      <c r="G21" s="35">
        <f aca="true" t="shared" si="1" ref="G21:M21">SUM(G6:G20)</f>
        <v>5593</v>
      </c>
      <c r="H21" s="35">
        <f>SUM(H6:H18)</f>
        <v>2106</v>
      </c>
      <c r="I21" s="35">
        <f t="shared" si="1"/>
        <v>4222</v>
      </c>
      <c r="J21" s="35">
        <f t="shared" si="1"/>
        <v>5593</v>
      </c>
      <c r="K21" s="35">
        <f t="shared" si="1"/>
        <v>0</v>
      </c>
      <c r="L21" s="35">
        <f t="shared" si="1"/>
        <v>6658</v>
      </c>
      <c r="M21" s="35">
        <f t="shared" si="1"/>
        <v>0</v>
      </c>
      <c r="S21" s="20">
        <f>SUM(S6:S20)</f>
        <v>9</v>
      </c>
      <c r="T21" s="20">
        <f>SUM(T6:T20)</f>
        <v>1</v>
      </c>
      <c r="U21" s="20">
        <f>SUM(U6:U20)</f>
        <v>5</v>
      </c>
    </row>
    <row r="22" spans="2:13" ht="15.75">
      <c r="B22" s="1" t="s">
        <v>194</v>
      </c>
      <c r="C22" s="7">
        <f>COUNT(C6:C20)</f>
        <v>0</v>
      </c>
      <c r="D22" s="7">
        <f>COUNT(D6:D19)</f>
        <v>8</v>
      </c>
      <c r="E22" s="7">
        <f>COUNT(E6:E20)</f>
        <v>13</v>
      </c>
      <c r="F22" s="7">
        <f>COUNT(F6:F18)+COUNT(F20)</f>
        <v>11</v>
      </c>
      <c r="G22" s="7">
        <f aca="true" t="shared" si="2" ref="G22:M22">COUNT(G6:G20)</f>
        <v>13</v>
      </c>
      <c r="H22" s="7">
        <f>COUNT(H6:H18)</f>
        <v>5</v>
      </c>
      <c r="I22" s="7">
        <f t="shared" si="2"/>
        <v>10</v>
      </c>
      <c r="J22" s="7">
        <f t="shared" si="2"/>
        <v>13</v>
      </c>
      <c r="K22" s="7">
        <f t="shared" si="2"/>
        <v>0</v>
      </c>
      <c r="L22" s="7">
        <f t="shared" si="2"/>
        <v>15</v>
      </c>
      <c r="M22" s="7">
        <f t="shared" si="2"/>
        <v>0</v>
      </c>
    </row>
    <row r="23" spans="2:21" ht="31.5">
      <c r="B23" s="11" t="s">
        <v>112</v>
      </c>
      <c r="C23" s="17"/>
      <c r="D23" s="17">
        <f>D21/D22</f>
        <v>424.75</v>
      </c>
      <c r="E23" s="17">
        <f>E21/E22</f>
        <v>454.6923076923077</v>
      </c>
      <c r="F23" s="17">
        <f>F21/F22</f>
        <v>431.54545454545456</v>
      </c>
      <c r="G23" s="17">
        <f>AVERAGE(G6:G20)</f>
        <v>430.2307692307692</v>
      </c>
      <c r="H23" s="17">
        <f>H21/H22</f>
        <v>421.2</v>
      </c>
      <c r="I23" s="17">
        <f>I21/I22</f>
        <v>422.2</v>
      </c>
      <c r="J23" s="17">
        <f>J21/J22</f>
        <v>430.2307692307692</v>
      </c>
      <c r="K23" s="17"/>
      <c r="L23" s="17">
        <f>L21/L22</f>
        <v>443.8666666666667</v>
      </c>
      <c r="M23" s="17"/>
      <c r="N23" s="3" t="s">
        <v>27</v>
      </c>
      <c r="O23" s="308" t="s">
        <v>102</v>
      </c>
      <c r="P23" s="308"/>
      <c r="Q23" s="3" t="s">
        <v>28</v>
      </c>
      <c r="R23" s="10" t="s">
        <v>103</v>
      </c>
      <c r="T23" s="40" t="s">
        <v>111</v>
      </c>
      <c r="U23" s="40" t="s">
        <v>192</v>
      </c>
    </row>
    <row r="24" spans="14:21" ht="15.75">
      <c r="N24" s="6">
        <f>SUM(N6:N20)</f>
        <v>38965</v>
      </c>
      <c r="O24" s="1">
        <f>SUM(O6:O20)</f>
        <v>70</v>
      </c>
      <c r="P24" s="1">
        <f>SUM(P6:P20)</f>
        <v>50</v>
      </c>
      <c r="Q24" s="1">
        <f>SUM(Q6:Q20)</f>
        <v>569</v>
      </c>
      <c r="R24" s="1">
        <f>SUM(R6:R20)</f>
        <v>19</v>
      </c>
      <c r="T24" s="2">
        <f>O24-P24</f>
        <v>20</v>
      </c>
      <c r="U24" s="2">
        <f>SUM(S21:U21)</f>
        <v>15</v>
      </c>
    </row>
    <row r="25" spans="3:13" ht="15.75">
      <c r="C25" s="309" t="s">
        <v>33</v>
      </c>
      <c r="D25" s="309"/>
      <c r="E25" s="9"/>
      <c r="F25" s="9"/>
      <c r="H25" s="311" t="s">
        <v>117</v>
      </c>
      <c r="I25" s="311"/>
      <c r="J25" s="19"/>
      <c r="K25" s="19"/>
      <c r="L25" s="310" t="s">
        <v>118</v>
      </c>
      <c r="M25" s="310"/>
    </row>
    <row r="26" spans="1:21" ht="16.5" thickBo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62"/>
      <c r="T26" s="62"/>
      <c r="U26" s="62"/>
    </row>
    <row r="27" spans="9:11" ht="15.75">
      <c r="I27" s="15"/>
      <c r="J27" s="15"/>
      <c r="K27" s="15"/>
    </row>
    <row r="28" spans="2:21" ht="39" customHeight="1" thickBot="1">
      <c r="B28" s="5" t="s">
        <v>22</v>
      </c>
      <c r="C28" s="59" t="s">
        <v>229</v>
      </c>
      <c r="D28" s="59" t="s">
        <v>230</v>
      </c>
      <c r="E28" s="82" t="s">
        <v>243</v>
      </c>
      <c r="F28" s="59" t="s">
        <v>231</v>
      </c>
      <c r="G28" s="59" t="s">
        <v>232</v>
      </c>
      <c r="H28" s="59" t="s">
        <v>181</v>
      </c>
      <c r="I28" s="59" t="s">
        <v>233</v>
      </c>
      <c r="J28" s="71" t="s">
        <v>236</v>
      </c>
      <c r="K28" s="70" t="s">
        <v>242</v>
      </c>
      <c r="L28" s="59" t="s">
        <v>246</v>
      </c>
      <c r="M28" s="59" t="s">
        <v>295</v>
      </c>
      <c r="N28" s="3" t="s">
        <v>27</v>
      </c>
      <c r="O28" s="3" t="s">
        <v>219</v>
      </c>
      <c r="P28" s="3" t="s">
        <v>26</v>
      </c>
      <c r="Q28" s="3" t="s">
        <v>28</v>
      </c>
      <c r="R28" s="10" t="s">
        <v>101</v>
      </c>
      <c r="S28" s="2" t="s">
        <v>162</v>
      </c>
      <c r="T28" s="2" t="s">
        <v>163</v>
      </c>
      <c r="U28" s="2" t="s">
        <v>164</v>
      </c>
    </row>
    <row r="29" spans="1:19" s="97" customFormat="1" ht="15.75">
      <c r="A29" s="95" t="s">
        <v>286</v>
      </c>
      <c r="B29" s="228" t="s">
        <v>218</v>
      </c>
      <c r="D29" s="228"/>
      <c r="E29" s="228"/>
      <c r="F29" s="230">
        <v>437</v>
      </c>
      <c r="G29" s="228">
        <v>406</v>
      </c>
      <c r="H29" s="228"/>
      <c r="I29" s="230">
        <v>446</v>
      </c>
      <c r="J29" s="230">
        <v>408</v>
      </c>
      <c r="K29" s="228">
        <v>397</v>
      </c>
      <c r="L29" s="230">
        <v>418</v>
      </c>
      <c r="M29" s="228"/>
      <c r="N29" s="238">
        <f>SUM(C29:M29)</f>
        <v>2512</v>
      </c>
      <c r="O29" s="95">
        <v>6</v>
      </c>
      <c r="P29" s="95">
        <v>2</v>
      </c>
      <c r="Q29" s="95">
        <f>N29-2382</f>
        <v>130</v>
      </c>
      <c r="R29" s="95">
        <v>2</v>
      </c>
      <c r="S29" s="97">
        <v>1</v>
      </c>
    </row>
    <row r="30" spans="1:19" s="115" customFormat="1" ht="15.75">
      <c r="A30" s="219" t="s">
        <v>287</v>
      </c>
      <c r="B30" s="220" t="s">
        <v>258</v>
      </c>
      <c r="D30" s="171"/>
      <c r="E30" s="285">
        <v>464</v>
      </c>
      <c r="F30" s="285">
        <v>436</v>
      </c>
      <c r="G30" s="285">
        <v>451</v>
      </c>
      <c r="H30" s="171"/>
      <c r="I30" s="171">
        <v>413</v>
      </c>
      <c r="J30" s="285">
        <v>419</v>
      </c>
      <c r="K30" s="171"/>
      <c r="L30" s="171">
        <v>390</v>
      </c>
      <c r="M30" s="171"/>
      <c r="N30" s="161">
        <f aca="true" t="shared" si="3" ref="N30:N43">SUM(C30:M30)</f>
        <v>2573</v>
      </c>
      <c r="O30" s="219">
        <v>6</v>
      </c>
      <c r="P30" s="219">
        <v>2</v>
      </c>
      <c r="Q30" s="219">
        <f>N30-2413</f>
        <v>160</v>
      </c>
      <c r="R30" s="219">
        <v>2</v>
      </c>
      <c r="S30" s="115">
        <v>1</v>
      </c>
    </row>
    <row r="31" spans="1:19" s="97" customFormat="1" ht="15.75">
      <c r="A31" s="95" t="s">
        <v>136</v>
      </c>
      <c r="B31" s="225" t="s">
        <v>257</v>
      </c>
      <c r="D31" s="240"/>
      <c r="E31" s="240">
        <v>416</v>
      </c>
      <c r="F31" s="286">
        <v>460</v>
      </c>
      <c r="G31" s="286">
        <v>444</v>
      </c>
      <c r="H31" s="240"/>
      <c r="I31" s="240">
        <v>416</v>
      </c>
      <c r="J31" s="286">
        <v>424</v>
      </c>
      <c r="K31" s="240"/>
      <c r="L31" s="240">
        <v>415</v>
      </c>
      <c r="M31" s="240"/>
      <c r="N31" s="238">
        <f t="shared" si="3"/>
        <v>2575</v>
      </c>
      <c r="O31" s="95">
        <v>5</v>
      </c>
      <c r="P31" s="95">
        <v>3</v>
      </c>
      <c r="Q31" s="95">
        <f>N31-2491</f>
        <v>84</v>
      </c>
      <c r="R31" s="95">
        <v>2</v>
      </c>
      <c r="S31" s="97">
        <v>1</v>
      </c>
    </row>
    <row r="32" spans="1:19" s="115" customFormat="1" ht="15.75">
      <c r="A32" s="219" t="s">
        <v>137</v>
      </c>
      <c r="B32" s="220" t="s">
        <v>19</v>
      </c>
      <c r="D32" s="171"/>
      <c r="E32" s="285">
        <v>439</v>
      </c>
      <c r="F32" s="171"/>
      <c r="G32" s="285">
        <v>435</v>
      </c>
      <c r="H32" s="171">
        <v>398</v>
      </c>
      <c r="I32" s="171">
        <v>394</v>
      </c>
      <c r="J32" s="285">
        <v>454</v>
      </c>
      <c r="K32" s="171"/>
      <c r="L32" s="285">
        <v>468</v>
      </c>
      <c r="M32" s="171"/>
      <c r="N32" s="161">
        <f t="shared" si="3"/>
        <v>2588</v>
      </c>
      <c r="O32" s="219">
        <v>6</v>
      </c>
      <c r="P32" s="219">
        <v>2</v>
      </c>
      <c r="Q32" s="219">
        <v>108</v>
      </c>
      <c r="R32" s="219">
        <v>2</v>
      </c>
      <c r="S32" s="115">
        <v>1</v>
      </c>
    </row>
    <row r="33" spans="1:19" s="97" customFormat="1" ht="15.75">
      <c r="A33" s="95" t="s">
        <v>138</v>
      </c>
      <c r="B33" s="225" t="s">
        <v>220</v>
      </c>
      <c r="D33" s="240"/>
      <c r="E33" s="286">
        <v>425</v>
      </c>
      <c r="F33" s="240">
        <v>395</v>
      </c>
      <c r="G33" s="240">
        <v>394</v>
      </c>
      <c r="H33" s="240">
        <v>356</v>
      </c>
      <c r="I33" s="240"/>
      <c r="J33" s="286">
        <v>464</v>
      </c>
      <c r="K33" s="240"/>
      <c r="L33" s="286">
        <v>475</v>
      </c>
      <c r="M33" s="240"/>
      <c r="N33" s="238">
        <f t="shared" si="3"/>
        <v>2509</v>
      </c>
      <c r="O33" s="95">
        <v>5</v>
      </c>
      <c r="P33" s="95">
        <v>3</v>
      </c>
      <c r="Q33" s="95">
        <v>13</v>
      </c>
      <c r="R33" s="95">
        <v>2</v>
      </c>
      <c r="S33" s="97">
        <v>1</v>
      </c>
    </row>
    <row r="34" spans="1:19" s="97" customFormat="1" ht="15.75">
      <c r="A34" s="95" t="s">
        <v>139</v>
      </c>
      <c r="B34" s="227" t="s">
        <v>18</v>
      </c>
      <c r="C34" s="97">
        <v>408</v>
      </c>
      <c r="D34" s="240"/>
      <c r="E34" s="286">
        <v>433</v>
      </c>
      <c r="F34" s="240"/>
      <c r="G34" s="240">
        <v>411</v>
      </c>
      <c r="H34" s="240"/>
      <c r="I34" s="286">
        <v>485</v>
      </c>
      <c r="J34" s="286">
        <v>432</v>
      </c>
      <c r="K34" s="240"/>
      <c r="L34" s="286">
        <v>458</v>
      </c>
      <c r="M34" s="240"/>
      <c r="N34" s="238">
        <f t="shared" si="3"/>
        <v>2627</v>
      </c>
      <c r="O34" s="95">
        <v>6</v>
      </c>
      <c r="P34" s="95">
        <v>2</v>
      </c>
      <c r="Q34" s="95">
        <v>87</v>
      </c>
      <c r="R34" s="95">
        <v>2</v>
      </c>
      <c r="S34" s="97">
        <v>1</v>
      </c>
    </row>
    <row r="35" spans="1:21" s="115" customFormat="1" ht="15.75">
      <c r="A35" s="219" t="s">
        <v>140</v>
      </c>
      <c r="B35" s="204" t="s">
        <v>23</v>
      </c>
      <c r="D35" s="171"/>
      <c r="E35" s="285">
        <v>467</v>
      </c>
      <c r="F35" s="171">
        <v>432</v>
      </c>
      <c r="G35" s="171">
        <v>424</v>
      </c>
      <c r="H35" s="171"/>
      <c r="I35" s="171">
        <v>392</v>
      </c>
      <c r="J35" s="285">
        <v>449</v>
      </c>
      <c r="K35" s="171"/>
      <c r="L35" s="285">
        <v>495</v>
      </c>
      <c r="M35" s="171"/>
      <c r="N35" s="161">
        <f t="shared" si="3"/>
        <v>2659</v>
      </c>
      <c r="O35" s="219">
        <v>3</v>
      </c>
      <c r="P35" s="219">
        <v>5</v>
      </c>
      <c r="Q35" s="219">
        <v>-26</v>
      </c>
      <c r="R35" s="219">
        <v>0</v>
      </c>
      <c r="U35" s="115">
        <v>1</v>
      </c>
    </row>
    <row r="36" spans="1:19" s="97" customFormat="1" ht="15.75">
      <c r="A36" s="95" t="s">
        <v>141</v>
      </c>
      <c r="B36" s="225" t="s">
        <v>180</v>
      </c>
      <c r="D36" s="240"/>
      <c r="E36" s="286">
        <v>434</v>
      </c>
      <c r="F36" s="240">
        <v>427</v>
      </c>
      <c r="G36" s="286">
        <v>449</v>
      </c>
      <c r="H36" s="240"/>
      <c r="I36" s="240"/>
      <c r="J36" s="240">
        <v>426</v>
      </c>
      <c r="K36" s="240"/>
      <c r="L36" s="286">
        <v>474</v>
      </c>
      <c r="M36" s="240">
        <v>407</v>
      </c>
      <c r="N36" s="238">
        <f t="shared" si="3"/>
        <v>2617</v>
      </c>
      <c r="O36" s="95">
        <v>5</v>
      </c>
      <c r="P36" s="95">
        <v>3</v>
      </c>
      <c r="Q36" s="95">
        <v>12</v>
      </c>
      <c r="R36" s="95">
        <v>2</v>
      </c>
      <c r="S36" s="97">
        <v>1</v>
      </c>
    </row>
    <row r="37" spans="1:19" s="115" customFormat="1" ht="15.75">
      <c r="A37" s="219" t="s">
        <v>142</v>
      </c>
      <c r="B37" s="220" t="s">
        <v>17</v>
      </c>
      <c r="D37" s="171"/>
      <c r="E37" s="285">
        <v>444</v>
      </c>
      <c r="F37" s="171">
        <v>429</v>
      </c>
      <c r="G37" s="171">
        <v>410</v>
      </c>
      <c r="H37" s="171"/>
      <c r="I37" s="285">
        <v>452</v>
      </c>
      <c r="J37" s="285">
        <v>442</v>
      </c>
      <c r="K37" s="171"/>
      <c r="L37" s="285">
        <v>444</v>
      </c>
      <c r="M37" s="171"/>
      <c r="N37" s="161">
        <f t="shared" si="3"/>
        <v>2621</v>
      </c>
      <c r="O37" s="219">
        <v>6</v>
      </c>
      <c r="P37" s="219">
        <v>2</v>
      </c>
      <c r="Q37" s="219">
        <v>32</v>
      </c>
      <c r="R37" s="219">
        <v>2</v>
      </c>
      <c r="S37" s="115">
        <v>1</v>
      </c>
    </row>
    <row r="38" spans="1:19" s="97" customFormat="1" ht="15.75">
      <c r="A38" s="95" t="s">
        <v>143</v>
      </c>
      <c r="B38" s="227" t="s">
        <v>178</v>
      </c>
      <c r="D38" s="240"/>
      <c r="E38" s="286">
        <v>455</v>
      </c>
      <c r="F38" s="286">
        <v>438</v>
      </c>
      <c r="G38" s="240"/>
      <c r="H38" s="240"/>
      <c r="I38" s="286">
        <v>453</v>
      </c>
      <c r="J38" s="240">
        <v>435</v>
      </c>
      <c r="K38" s="240"/>
      <c r="L38" s="286">
        <v>462</v>
      </c>
      <c r="M38" s="240">
        <v>414</v>
      </c>
      <c r="N38" s="238">
        <f t="shared" si="3"/>
        <v>2657</v>
      </c>
      <c r="O38" s="95">
        <v>6</v>
      </c>
      <c r="P38" s="95">
        <v>2</v>
      </c>
      <c r="Q38" s="95">
        <v>61</v>
      </c>
      <c r="R38" s="95">
        <v>2</v>
      </c>
      <c r="S38" s="97">
        <v>1</v>
      </c>
    </row>
    <row r="39" spans="1:19" s="115" customFormat="1" ht="15.75">
      <c r="A39" s="219" t="s">
        <v>144</v>
      </c>
      <c r="B39" s="220" t="s">
        <v>259</v>
      </c>
      <c r="D39" s="285">
        <v>222</v>
      </c>
      <c r="E39" s="285">
        <v>486</v>
      </c>
      <c r="F39" s="171"/>
      <c r="G39" s="171">
        <v>399</v>
      </c>
      <c r="H39" s="285">
        <v>224</v>
      </c>
      <c r="I39" s="285">
        <v>442</v>
      </c>
      <c r="J39" s="285">
        <v>448</v>
      </c>
      <c r="K39" s="171"/>
      <c r="L39" s="171">
        <v>440</v>
      </c>
      <c r="M39" s="171"/>
      <c r="N39" s="161">
        <f t="shared" si="3"/>
        <v>2661</v>
      </c>
      <c r="O39" s="219">
        <v>6</v>
      </c>
      <c r="P39" s="219">
        <v>2</v>
      </c>
      <c r="Q39" s="219">
        <f>N39-2559</f>
        <v>102</v>
      </c>
      <c r="R39" s="219">
        <v>2</v>
      </c>
      <c r="S39" s="115">
        <v>1</v>
      </c>
    </row>
    <row r="40" spans="1:19" s="97" customFormat="1" ht="15.75">
      <c r="A40" s="95" t="s">
        <v>145</v>
      </c>
      <c r="B40" s="227" t="s">
        <v>20</v>
      </c>
      <c r="D40" s="286">
        <v>464</v>
      </c>
      <c r="E40" s="286">
        <v>453</v>
      </c>
      <c r="F40" s="240"/>
      <c r="G40" s="240"/>
      <c r="H40" s="240">
        <v>391</v>
      </c>
      <c r="I40" s="286">
        <v>443</v>
      </c>
      <c r="J40" s="286">
        <v>456</v>
      </c>
      <c r="L40" s="240">
        <v>432</v>
      </c>
      <c r="M40" s="240"/>
      <c r="N40" s="238">
        <f t="shared" si="3"/>
        <v>2639</v>
      </c>
      <c r="O40" s="95">
        <v>6</v>
      </c>
      <c r="P40" s="95">
        <v>2</v>
      </c>
      <c r="Q40" s="95">
        <v>37</v>
      </c>
      <c r="R40" s="95">
        <v>2</v>
      </c>
      <c r="S40" s="97">
        <v>1</v>
      </c>
    </row>
    <row r="41" spans="1:21" s="115" customFormat="1" ht="15.75">
      <c r="A41" s="219" t="s">
        <v>146</v>
      </c>
      <c r="B41" s="220" t="s">
        <v>179</v>
      </c>
      <c r="D41" s="285">
        <v>437</v>
      </c>
      <c r="E41" s="171"/>
      <c r="F41" s="171">
        <v>419</v>
      </c>
      <c r="G41" s="285">
        <v>446</v>
      </c>
      <c r="H41" s="171"/>
      <c r="I41" s="171">
        <v>423</v>
      </c>
      <c r="J41" s="171">
        <v>401</v>
      </c>
      <c r="K41" s="171"/>
      <c r="L41" s="285">
        <v>463</v>
      </c>
      <c r="M41" s="171"/>
      <c r="N41" s="161">
        <f t="shared" si="3"/>
        <v>2589</v>
      </c>
      <c r="O41" s="219">
        <v>3</v>
      </c>
      <c r="P41" s="219">
        <v>5</v>
      </c>
      <c r="Q41" s="219">
        <v>-5</v>
      </c>
      <c r="R41" s="219">
        <v>0</v>
      </c>
      <c r="U41" s="115">
        <v>1</v>
      </c>
    </row>
    <row r="42" spans="1:19" s="97" customFormat="1" ht="15.75">
      <c r="A42" s="95" t="s">
        <v>147</v>
      </c>
      <c r="B42" s="225" t="s">
        <v>177</v>
      </c>
      <c r="D42" s="240">
        <v>424</v>
      </c>
      <c r="E42" s="286">
        <v>505</v>
      </c>
      <c r="F42" s="240"/>
      <c r="G42" s="240"/>
      <c r="H42" s="286">
        <v>449</v>
      </c>
      <c r="I42" s="240">
        <v>416</v>
      </c>
      <c r="J42" s="240">
        <v>418</v>
      </c>
      <c r="K42" s="240"/>
      <c r="L42" s="286">
        <v>431</v>
      </c>
      <c r="M42" s="240"/>
      <c r="N42" s="238">
        <f t="shared" si="3"/>
        <v>2643</v>
      </c>
      <c r="O42" s="95">
        <v>5</v>
      </c>
      <c r="P42" s="95">
        <v>3</v>
      </c>
      <c r="Q42" s="95">
        <f>N42-2528</f>
        <v>115</v>
      </c>
      <c r="R42" s="95">
        <v>2</v>
      </c>
      <c r="S42" s="97">
        <v>1</v>
      </c>
    </row>
    <row r="43" spans="1:21" s="115" customFormat="1" ht="16.5" thickBot="1">
      <c r="A43" s="219" t="s">
        <v>148</v>
      </c>
      <c r="B43" s="204" t="s">
        <v>15</v>
      </c>
      <c r="C43" s="124"/>
      <c r="D43" s="243">
        <v>420</v>
      </c>
      <c r="E43" s="297">
        <v>442</v>
      </c>
      <c r="F43" s="297">
        <v>447</v>
      </c>
      <c r="G43" s="243">
        <v>436</v>
      </c>
      <c r="H43" s="243">
        <v>387</v>
      </c>
      <c r="I43" s="243"/>
      <c r="J43" s="243"/>
      <c r="K43" s="243"/>
      <c r="L43" s="297">
        <v>454</v>
      </c>
      <c r="M43" s="244"/>
      <c r="N43" s="161">
        <f t="shared" si="3"/>
        <v>2586</v>
      </c>
      <c r="O43" s="219">
        <v>3</v>
      </c>
      <c r="P43" s="219">
        <v>5</v>
      </c>
      <c r="Q43" s="219">
        <v>-45</v>
      </c>
      <c r="R43" s="219">
        <v>0</v>
      </c>
      <c r="U43" s="115">
        <v>1</v>
      </c>
    </row>
    <row r="44" spans="3:21" ht="16.5" thickTop="1">
      <c r="C44" s="35">
        <f>SUM(C29:C43)</f>
        <v>408</v>
      </c>
      <c r="D44" s="35">
        <f>SUM(D40:D43)</f>
        <v>1745</v>
      </c>
      <c r="E44" s="35">
        <f>SUM(E29:E43)</f>
        <v>5863</v>
      </c>
      <c r="F44" s="35">
        <f>SUM(F29:F43)</f>
        <v>4320</v>
      </c>
      <c r="G44" s="35">
        <f>SUM(G29:G43)</f>
        <v>5105</v>
      </c>
      <c r="H44" s="35">
        <f>SUM(H29:H38)+SUM(H40:H43)</f>
        <v>1981</v>
      </c>
      <c r="I44" s="35">
        <f>SUM(I29:I35)+SUM(I36:I43)</f>
        <v>5175</v>
      </c>
      <c r="J44" s="35">
        <f>SUM(J29:J43)</f>
        <v>6076</v>
      </c>
      <c r="K44" s="35">
        <f>SUM(K29:K34)+SUM(K36:K43)</f>
        <v>397</v>
      </c>
      <c r="L44" s="35">
        <f>SUM(L29:L43)</f>
        <v>6719</v>
      </c>
      <c r="M44" s="35">
        <f>SUM(M29:M43)</f>
        <v>821</v>
      </c>
      <c r="O44" s="1">
        <f>SUM(O29:O43)</f>
        <v>77</v>
      </c>
      <c r="P44" s="1">
        <f>SUM(P29:P43)</f>
        <v>43</v>
      </c>
      <c r="Q44" s="1">
        <f>SUM(Q29:Q43)</f>
        <v>865</v>
      </c>
      <c r="R44" s="1">
        <f>SUM(R29:R43)</f>
        <v>24</v>
      </c>
      <c r="S44" s="1">
        <f>SUM(S29:S43)+S21</f>
        <v>21</v>
      </c>
      <c r="T44" s="1">
        <f>SUM(T29:T43)+T21</f>
        <v>1</v>
      </c>
      <c r="U44" s="1">
        <f>SUM(U29:U43)+U21</f>
        <v>8</v>
      </c>
    </row>
    <row r="45" spans="2:13" ht="15.75">
      <c r="B45" s="58" t="s">
        <v>213</v>
      </c>
      <c r="C45" s="4">
        <f>COUNT(C29:C43)</f>
        <v>1</v>
      </c>
      <c r="D45" s="4">
        <f>COUNT(D40:D43)</f>
        <v>4</v>
      </c>
      <c r="E45" s="4">
        <f>COUNT(E29:E43)</f>
        <v>13</v>
      </c>
      <c r="F45" s="4">
        <f>COUNT(F29:F43)</f>
        <v>10</v>
      </c>
      <c r="G45" s="4">
        <f>COUNT(G29:G43)</f>
        <v>12</v>
      </c>
      <c r="H45" s="1">
        <f>COUNT(H29:H38)+COUNT(H40:H43)</f>
        <v>5</v>
      </c>
      <c r="I45" s="1">
        <f>COUNT(I29:I35)+COUNT(I36:I43)</f>
        <v>12</v>
      </c>
      <c r="J45" s="4">
        <f>COUNT(J29:J43)</f>
        <v>14</v>
      </c>
      <c r="K45" s="1">
        <f>COUNT(K29:K34)+COUNT(K36:K43)</f>
        <v>1</v>
      </c>
      <c r="L45" s="4">
        <f>COUNT(L29:L43)</f>
        <v>15</v>
      </c>
      <c r="M45" s="4">
        <f>COUNT(M29:M43)</f>
        <v>2</v>
      </c>
    </row>
    <row r="46" spans="2:21" ht="31.5">
      <c r="B46" s="11" t="s">
        <v>212</v>
      </c>
      <c r="C46" s="17">
        <f aca="true" t="shared" si="4" ref="C46:L46">C44/C45</f>
        <v>408</v>
      </c>
      <c r="D46" s="17">
        <f t="shared" si="4"/>
        <v>436.25</v>
      </c>
      <c r="E46" s="17">
        <f t="shared" si="4"/>
        <v>451</v>
      </c>
      <c r="F46" s="17">
        <f t="shared" si="4"/>
        <v>432</v>
      </c>
      <c r="G46" s="17">
        <f t="shared" si="4"/>
        <v>425.4166666666667</v>
      </c>
      <c r="H46" s="17">
        <f t="shared" si="4"/>
        <v>396.2</v>
      </c>
      <c r="I46" s="17">
        <f t="shared" si="4"/>
        <v>431.25</v>
      </c>
      <c r="J46" s="17">
        <f t="shared" si="4"/>
        <v>434</v>
      </c>
      <c r="K46" s="17">
        <f t="shared" si="4"/>
        <v>397</v>
      </c>
      <c r="L46" s="17">
        <f t="shared" si="4"/>
        <v>447.93333333333334</v>
      </c>
      <c r="M46" s="17">
        <f>M44/M45</f>
        <v>410.5</v>
      </c>
      <c r="N46" s="3" t="s">
        <v>27</v>
      </c>
      <c r="O46" s="308" t="s">
        <v>102</v>
      </c>
      <c r="P46" s="308"/>
      <c r="Q46" s="3" t="s">
        <v>28</v>
      </c>
      <c r="R46" s="10" t="s">
        <v>103</v>
      </c>
      <c r="T46" s="40" t="s">
        <v>111</v>
      </c>
      <c r="U46" s="40" t="s">
        <v>192</v>
      </c>
    </row>
    <row r="47" spans="14:21" ht="15.75">
      <c r="N47" s="6">
        <f>SUM(N29:N43)+N24</f>
        <v>78021</v>
      </c>
      <c r="O47" s="6">
        <f>SUM(O29:O43)</f>
        <v>77</v>
      </c>
      <c r="P47" s="6">
        <f>SUM(P29:P43)</f>
        <v>43</v>
      </c>
      <c r="Q47" s="6">
        <f>SUM(Q29:Q43)+Q24</f>
        <v>1434</v>
      </c>
      <c r="R47" s="6">
        <f>SUM(R29:R43)+R24</f>
        <v>43</v>
      </c>
      <c r="T47" s="2">
        <f>O47-P47</f>
        <v>34</v>
      </c>
      <c r="U47" s="2">
        <f>SUM(S44:U44)</f>
        <v>30</v>
      </c>
    </row>
    <row r="49" spans="14:15" ht="15.75">
      <c r="N49" s="1" t="s">
        <v>113</v>
      </c>
      <c r="O49" s="18">
        <f>N47/U47</f>
        <v>2600.7</v>
      </c>
    </row>
  </sheetData>
  <sheetProtection/>
  <mergeCells count="9">
    <mergeCell ref="O46:P46"/>
    <mergeCell ref="L25:M25"/>
    <mergeCell ref="G1:I1"/>
    <mergeCell ref="L1:M1"/>
    <mergeCell ref="C4:M4"/>
    <mergeCell ref="O4:P4"/>
    <mergeCell ref="C25:D25"/>
    <mergeCell ref="O23:P23"/>
    <mergeCell ref="H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S50"/>
  <sheetViews>
    <sheetView zoomScale="90" zoomScaleNormal="90" zoomScalePageLayoutView="0" workbookViewId="0" topLeftCell="B22">
      <selection activeCell="C44" sqref="C44"/>
    </sheetView>
  </sheetViews>
  <sheetFormatPr defaultColWidth="9.00390625" defaultRowHeight="12.75"/>
  <cols>
    <col min="1" max="1" width="17.125" style="1" customWidth="1"/>
    <col min="2" max="2" width="21.00390625" style="1" bestFit="1" customWidth="1"/>
    <col min="3" max="3" width="10.00390625" style="1" customWidth="1"/>
    <col min="4" max="8" width="9.125" style="1" customWidth="1"/>
    <col min="9" max="9" width="11.375" style="1" customWidth="1"/>
    <col min="10" max="10" width="11.25390625" style="1" customWidth="1"/>
    <col min="11" max="11" width="8.625" style="1" customWidth="1"/>
    <col min="12" max="12" width="17.75390625" style="1" bestFit="1" customWidth="1"/>
    <col min="13" max="13" width="11.25390625" style="1" customWidth="1"/>
    <col min="14" max="14" width="10.375" style="1" customWidth="1"/>
    <col min="15" max="15" width="13.375" style="1" customWidth="1"/>
    <col min="16" max="16" width="11.875" style="1" customWidth="1"/>
    <col min="18" max="18" width="13.25390625" style="0" customWidth="1"/>
    <col min="19" max="19" width="11.125" style="0" customWidth="1"/>
  </cols>
  <sheetData>
    <row r="1" spans="1:13" ht="15.75">
      <c r="A1" s="27" t="s">
        <v>125</v>
      </c>
      <c r="B1" s="28" t="s">
        <v>128</v>
      </c>
      <c r="C1" s="28" t="s">
        <v>126</v>
      </c>
      <c r="D1" s="306" t="s">
        <v>127</v>
      </c>
      <c r="E1" s="306"/>
      <c r="G1" s="301" t="s">
        <v>134</v>
      </c>
      <c r="H1" s="301"/>
      <c r="I1" s="11" t="s">
        <v>135</v>
      </c>
      <c r="J1" s="305" t="s">
        <v>111</v>
      </c>
      <c r="K1" s="305"/>
      <c r="L1" s="1" t="s">
        <v>113</v>
      </c>
      <c r="M1" s="18">
        <f>L24/S24</f>
        <v>2512.6</v>
      </c>
    </row>
    <row r="2" spans="7:13" ht="15.75">
      <c r="G2" s="1">
        <f>M24+M45</f>
        <v>115</v>
      </c>
      <c r="H2" s="1">
        <f>N24+N45</f>
        <v>125</v>
      </c>
      <c r="I2" s="1">
        <f>P24+P45</f>
        <v>28</v>
      </c>
      <c r="J2" s="307">
        <f>G2-H2</f>
        <v>-10</v>
      </c>
      <c r="K2" s="307"/>
      <c r="L2" s="1" t="s">
        <v>198</v>
      </c>
      <c r="M2" s="6">
        <f>L6+L9+L11+L13+L15+L17+L19+L31+L33+L35+L36+L38+L40+L42+L44</f>
        <v>37952</v>
      </c>
    </row>
    <row r="4" spans="3:19" ht="15.75">
      <c r="C4" s="308"/>
      <c r="D4" s="308"/>
      <c r="E4" s="308"/>
      <c r="F4" s="308"/>
      <c r="G4" s="308"/>
      <c r="H4" s="308"/>
      <c r="I4" s="308"/>
      <c r="J4" s="308"/>
      <c r="K4" s="308"/>
      <c r="M4" s="308" t="s">
        <v>25</v>
      </c>
      <c r="N4" s="308"/>
      <c r="Q4" s="2"/>
      <c r="R4" s="2"/>
      <c r="S4" s="2"/>
    </row>
    <row r="5" spans="2:19" ht="32.25" thickBot="1">
      <c r="B5" s="3" t="s">
        <v>22</v>
      </c>
      <c r="C5" s="8" t="s">
        <v>70</v>
      </c>
      <c r="D5" s="8" t="s">
        <v>71</v>
      </c>
      <c r="E5" s="8" t="s">
        <v>72</v>
      </c>
      <c r="F5" s="8" t="s">
        <v>73</v>
      </c>
      <c r="G5" s="8" t="s">
        <v>74</v>
      </c>
      <c r="H5" s="12" t="s">
        <v>120</v>
      </c>
      <c r="I5" s="82" t="s">
        <v>121</v>
      </c>
      <c r="J5" s="8" t="s">
        <v>98</v>
      </c>
      <c r="K5" s="8" t="s">
        <v>191</v>
      </c>
      <c r="L5" s="3" t="s">
        <v>27</v>
      </c>
      <c r="M5" s="3" t="s">
        <v>18</v>
      </c>
      <c r="N5" s="3" t="s">
        <v>26</v>
      </c>
      <c r="O5" s="3" t="s">
        <v>28</v>
      </c>
      <c r="P5" s="10" t="s">
        <v>101</v>
      </c>
      <c r="Q5" s="2" t="s">
        <v>162</v>
      </c>
      <c r="R5" s="2" t="s">
        <v>163</v>
      </c>
      <c r="S5" s="2" t="s">
        <v>164</v>
      </c>
    </row>
    <row r="6" spans="1:19" s="115" customFormat="1" ht="15.75">
      <c r="A6" s="113" t="s">
        <v>0</v>
      </c>
      <c r="B6" s="120" t="s">
        <v>23</v>
      </c>
      <c r="C6" s="114"/>
      <c r="D6" s="114">
        <v>387</v>
      </c>
      <c r="E6" s="114">
        <v>400</v>
      </c>
      <c r="F6" s="114"/>
      <c r="G6" s="114">
        <v>394</v>
      </c>
      <c r="H6" s="114"/>
      <c r="I6" s="114">
        <v>428</v>
      </c>
      <c r="J6" s="177">
        <v>430</v>
      </c>
      <c r="K6" s="116">
        <v>394</v>
      </c>
      <c r="L6" s="161">
        <f aca="true" t="shared" si="0" ref="L6:L20">SUM(C6:K6)</f>
        <v>2433</v>
      </c>
      <c r="M6" s="113">
        <v>1</v>
      </c>
      <c r="N6" s="113">
        <v>7</v>
      </c>
      <c r="O6" s="118">
        <v>-257</v>
      </c>
      <c r="P6" s="113">
        <v>0</v>
      </c>
      <c r="Q6" s="119"/>
      <c r="R6" s="119"/>
      <c r="S6" s="119">
        <v>1</v>
      </c>
    </row>
    <row r="7" spans="1:17" s="100" customFormat="1" ht="15.75">
      <c r="A7" s="100" t="s">
        <v>1</v>
      </c>
      <c r="B7" s="96" t="s">
        <v>177</v>
      </c>
      <c r="C7" s="96">
        <v>396</v>
      </c>
      <c r="D7" s="179">
        <v>432</v>
      </c>
      <c r="E7" s="179">
        <v>411</v>
      </c>
      <c r="F7" s="96"/>
      <c r="G7" s="96">
        <v>208</v>
      </c>
      <c r="H7" s="96"/>
      <c r="I7" s="179">
        <v>425</v>
      </c>
      <c r="J7" s="179">
        <v>427</v>
      </c>
      <c r="K7" s="96">
        <v>184</v>
      </c>
      <c r="L7" s="159">
        <f t="shared" si="0"/>
        <v>2483</v>
      </c>
      <c r="M7" s="100">
        <v>6</v>
      </c>
      <c r="N7" s="100">
        <v>2</v>
      </c>
      <c r="O7" s="100">
        <v>98</v>
      </c>
      <c r="P7" s="100">
        <v>2</v>
      </c>
      <c r="Q7" s="100">
        <v>1</v>
      </c>
    </row>
    <row r="8" spans="1:19" s="100" customFormat="1" ht="15.75">
      <c r="A8" s="100" t="s">
        <v>2</v>
      </c>
      <c r="B8" s="96" t="s">
        <v>219</v>
      </c>
      <c r="C8" s="96">
        <v>415</v>
      </c>
      <c r="D8" s="96">
        <v>398</v>
      </c>
      <c r="E8" s="96">
        <v>413</v>
      </c>
      <c r="F8" s="96"/>
      <c r="G8" s="96">
        <v>417</v>
      </c>
      <c r="H8" s="96"/>
      <c r="I8" s="179">
        <v>451</v>
      </c>
      <c r="J8" s="96">
        <v>408</v>
      </c>
      <c r="K8" s="96"/>
      <c r="L8" s="159">
        <f t="shared" si="0"/>
        <v>2502</v>
      </c>
      <c r="M8" s="100">
        <v>1</v>
      </c>
      <c r="N8" s="100">
        <v>7</v>
      </c>
      <c r="O8" s="99">
        <v>-157</v>
      </c>
      <c r="P8" s="100">
        <v>0</v>
      </c>
      <c r="S8" s="100">
        <v>1</v>
      </c>
    </row>
    <row r="9" spans="1:19" s="120" customFormat="1" ht="15.75">
      <c r="A9" s="120" t="s">
        <v>3</v>
      </c>
      <c r="B9" s="114" t="s">
        <v>179</v>
      </c>
      <c r="C9" s="114">
        <v>424</v>
      </c>
      <c r="D9" s="114"/>
      <c r="E9" s="114">
        <v>390</v>
      </c>
      <c r="F9" s="114"/>
      <c r="G9" s="114">
        <v>402</v>
      </c>
      <c r="H9" s="114"/>
      <c r="I9" s="177">
        <v>459</v>
      </c>
      <c r="J9" s="114">
        <v>434</v>
      </c>
      <c r="K9" s="114">
        <v>425</v>
      </c>
      <c r="L9" s="162">
        <f t="shared" si="0"/>
        <v>2534</v>
      </c>
      <c r="M9" s="120">
        <v>1</v>
      </c>
      <c r="N9" s="120">
        <v>7</v>
      </c>
      <c r="O9" s="132">
        <v>-179</v>
      </c>
      <c r="P9" s="120">
        <v>0</v>
      </c>
      <c r="S9" s="120">
        <v>1</v>
      </c>
    </row>
    <row r="10" spans="1:17" s="100" customFormat="1" ht="15.75">
      <c r="A10" s="100" t="s">
        <v>4</v>
      </c>
      <c r="B10" s="96" t="s">
        <v>220</v>
      </c>
      <c r="C10" s="96">
        <v>384</v>
      </c>
      <c r="D10" s="96">
        <v>408</v>
      </c>
      <c r="E10" s="179">
        <v>441</v>
      </c>
      <c r="F10" s="96"/>
      <c r="G10" s="179">
        <v>461</v>
      </c>
      <c r="H10" s="96"/>
      <c r="I10" s="179">
        <v>436</v>
      </c>
      <c r="J10" s="179">
        <v>418</v>
      </c>
      <c r="K10" s="96"/>
      <c r="L10" s="159">
        <f t="shared" si="0"/>
        <v>2548</v>
      </c>
      <c r="M10" s="100">
        <v>6</v>
      </c>
      <c r="N10" s="100">
        <v>2</v>
      </c>
      <c r="O10" s="99">
        <v>71</v>
      </c>
      <c r="P10" s="100">
        <v>2</v>
      </c>
      <c r="Q10" s="100">
        <v>1</v>
      </c>
    </row>
    <row r="11" spans="1:19" s="120" customFormat="1" ht="15.75">
      <c r="A11" s="120" t="s">
        <v>5</v>
      </c>
      <c r="B11" s="114" t="s">
        <v>20</v>
      </c>
      <c r="C11" s="114">
        <v>435</v>
      </c>
      <c r="D11" s="114">
        <v>397</v>
      </c>
      <c r="E11" s="114">
        <v>444</v>
      </c>
      <c r="F11" s="114"/>
      <c r="G11" s="114">
        <v>417</v>
      </c>
      <c r="H11" s="114"/>
      <c r="I11" s="177">
        <v>483</v>
      </c>
      <c r="J11" s="177">
        <v>453</v>
      </c>
      <c r="K11" s="114"/>
      <c r="L11" s="162">
        <f t="shared" si="0"/>
        <v>2629</v>
      </c>
      <c r="M11" s="120">
        <v>2</v>
      </c>
      <c r="N11" s="120">
        <v>6</v>
      </c>
      <c r="O11" s="132">
        <v>-60</v>
      </c>
      <c r="P11" s="120">
        <v>0</v>
      </c>
      <c r="S11" s="120">
        <v>1</v>
      </c>
    </row>
    <row r="12" spans="1:19" s="100" customFormat="1" ht="15.75">
      <c r="A12" s="100" t="s">
        <v>6</v>
      </c>
      <c r="B12" s="100" t="s">
        <v>19</v>
      </c>
      <c r="C12" s="101">
        <v>408</v>
      </c>
      <c r="D12" s="174">
        <v>428</v>
      </c>
      <c r="E12" s="101"/>
      <c r="F12" s="101"/>
      <c r="G12" s="101">
        <v>418</v>
      </c>
      <c r="H12" s="101">
        <v>364</v>
      </c>
      <c r="I12" s="174">
        <v>442</v>
      </c>
      <c r="J12" s="174">
        <v>418</v>
      </c>
      <c r="K12" s="101"/>
      <c r="L12" s="159">
        <f t="shared" si="0"/>
        <v>2478</v>
      </c>
      <c r="M12" s="144">
        <v>3</v>
      </c>
      <c r="N12" s="144">
        <v>5</v>
      </c>
      <c r="O12" s="144">
        <v>-7</v>
      </c>
      <c r="P12" s="144">
        <v>0</v>
      </c>
      <c r="Q12" s="144"/>
      <c r="R12" s="144"/>
      <c r="S12" s="144">
        <v>1</v>
      </c>
    </row>
    <row r="13" spans="1:19" s="120" customFormat="1" ht="15.75">
      <c r="A13" s="120" t="s">
        <v>7</v>
      </c>
      <c r="B13" s="114" t="s">
        <v>259</v>
      </c>
      <c r="C13" s="114"/>
      <c r="D13" s="114">
        <v>380</v>
      </c>
      <c r="E13" s="114">
        <v>435</v>
      </c>
      <c r="F13" s="114"/>
      <c r="G13" s="114">
        <v>412</v>
      </c>
      <c r="H13" s="114"/>
      <c r="I13" s="177">
        <v>463</v>
      </c>
      <c r="J13" s="177">
        <v>446</v>
      </c>
      <c r="K13" s="114">
        <v>395</v>
      </c>
      <c r="L13" s="162">
        <f t="shared" si="0"/>
        <v>2531</v>
      </c>
      <c r="M13" s="120">
        <v>2</v>
      </c>
      <c r="N13" s="120">
        <v>6</v>
      </c>
      <c r="O13" s="132">
        <v>-146</v>
      </c>
      <c r="P13" s="120">
        <v>0</v>
      </c>
      <c r="S13" s="120">
        <v>1</v>
      </c>
    </row>
    <row r="14" spans="1:17" s="100" customFormat="1" ht="15.75">
      <c r="A14" s="100" t="s">
        <v>8</v>
      </c>
      <c r="B14" s="100" t="s">
        <v>257</v>
      </c>
      <c r="C14" s="96">
        <v>400</v>
      </c>
      <c r="D14" s="96"/>
      <c r="E14" s="232">
        <v>449</v>
      </c>
      <c r="F14" s="96"/>
      <c r="G14" s="232">
        <v>446</v>
      </c>
      <c r="H14" s="96"/>
      <c r="I14" s="232">
        <v>433</v>
      </c>
      <c r="J14" s="232">
        <v>454</v>
      </c>
      <c r="K14" s="232">
        <v>421</v>
      </c>
      <c r="L14" s="159">
        <f t="shared" si="0"/>
        <v>2603</v>
      </c>
      <c r="M14" s="100">
        <v>7</v>
      </c>
      <c r="N14" s="100">
        <v>1</v>
      </c>
      <c r="O14" s="100">
        <v>202</v>
      </c>
      <c r="P14" s="100">
        <v>2</v>
      </c>
      <c r="Q14" s="100">
        <v>1</v>
      </c>
    </row>
    <row r="15" spans="1:19" s="120" customFormat="1" ht="15.75">
      <c r="A15" s="120" t="s">
        <v>9</v>
      </c>
      <c r="B15" s="114" t="s">
        <v>178</v>
      </c>
      <c r="C15" s="114">
        <v>388</v>
      </c>
      <c r="D15" s="114"/>
      <c r="E15" s="114">
        <v>415</v>
      </c>
      <c r="F15" s="114"/>
      <c r="G15" s="114">
        <v>426</v>
      </c>
      <c r="H15" s="114"/>
      <c r="I15" s="177">
        <v>482</v>
      </c>
      <c r="J15" s="177">
        <v>451</v>
      </c>
      <c r="K15" s="114">
        <v>370</v>
      </c>
      <c r="L15" s="162">
        <f t="shared" si="0"/>
        <v>2532</v>
      </c>
      <c r="M15" s="120">
        <v>2</v>
      </c>
      <c r="N15" s="120">
        <v>6</v>
      </c>
      <c r="O15" s="132">
        <v>-17</v>
      </c>
      <c r="P15" s="120">
        <v>0</v>
      </c>
      <c r="S15" s="120">
        <v>1</v>
      </c>
    </row>
    <row r="16" spans="1:17" s="100" customFormat="1" ht="15.75">
      <c r="A16" s="100" t="s">
        <v>10</v>
      </c>
      <c r="B16" s="100" t="s">
        <v>258</v>
      </c>
      <c r="C16" s="96">
        <v>414</v>
      </c>
      <c r="D16" s="232">
        <v>438</v>
      </c>
      <c r="E16" s="232">
        <v>430</v>
      </c>
      <c r="F16" s="96"/>
      <c r="G16" s="232">
        <v>481</v>
      </c>
      <c r="H16" s="96"/>
      <c r="I16" s="232">
        <v>429</v>
      </c>
      <c r="J16" s="96">
        <v>397</v>
      </c>
      <c r="K16" s="96"/>
      <c r="L16" s="159">
        <f t="shared" si="0"/>
        <v>2589</v>
      </c>
      <c r="M16" s="99">
        <v>6</v>
      </c>
      <c r="N16" s="100">
        <v>2</v>
      </c>
      <c r="O16" s="100">
        <v>64</v>
      </c>
      <c r="P16" s="100">
        <v>2</v>
      </c>
      <c r="Q16" s="100">
        <v>1</v>
      </c>
    </row>
    <row r="17" spans="1:19" s="120" customFormat="1" ht="15.75">
      <c r="A17" s="120" t="s">
        <v>11</v>
      </c>
      <c r="B17" s="114" t="s">
        <v>17</v>
      </c>
      <c r="C17" s="114">
        <v>401</v>
      </c>
      <c r="D17" s="224">
        <v>421</v>
      </c>
      <c r="E17" s="114">
        <v>388</v>
      </c>
      <c r="F17" s="114"/>
      <c r="G17" s="114">
        <v>375</v>
      </c>
      <c r="H17" s="114"/>
      <c r="I17" s="224">
        <v>431</v>
      </c>
      <c r="J17" s="224">
        <v>436</v>
      </c>
      <c r="K17" s="114"/>
      <c r="L17" s="162">
        <f t="shared" si="0"/>
        <v>2452</v>
      </c>
      <c r="M17" s="120">
        <v>2</v>
      </c>
      <c r="N17" s="120">
        <v>6</v>
      </c>
      <c r="O17" s="120">
        <v>-139</v>
      </c>
      <c r="P17" s="120">
        <v>0</v>
      </c>
      <c r="S17" s="120">
        <v>1</v>
      </c>
    </row>
    <row r="18" spans="1:19" s="100" customFormat="1" ht="15.75">
      <c r="A18" s="100" t="s">
        <v>12</v>
      </c>
      <c r="B18" s="96" t="s">
        <v>218</v>
      </c>
      <c r="C18" s="96">
        <v>390</v>
      </c>
      <c r="D18" s="96">
        <v>423</v>
      </c>
      <c r="E18" s="101"/>
      <c r="F18" s="230">
        <v>430</v>
      </c>
      <c r="G18" s="101"/>
      <c r="H18" s="101"/>
      <c r="I18" s="101">
        <v>397</v>
      </c>
      <c r="J18" s="230">
        <v>448</v>
      </c>
      <c r="K18" s="101">
        <v>410</v>
      </c>
      <c r="L18" s="159">
        <f t="shared" si="0"/>
        <v>2498</v>
      </c>
      <c r="M18" s="100">
        <v>2</v>
      </c>
      <c r="N18" s="100">
        <v>6</v>
      </c>
      <c r="O18" s="100">
        <v>-134</v>
      </c>
      <c r="P18" s="100">
        <v>0</v>
      </c>
      <c r="S18" s="100">
        <v>1</v>
      </c>
    </row>
    <row r="19" spans="1:19" s="120" customFormat="1" ht="15.75">
      <c r="A19" s="120" t="s">
        <v>13</v>
      </c>
      <c r="B19" s="114" t="s">
        <v>263</v>
      </c>
      <c r="C19" s="114"/>
      <c r="D19" s="114">
        <v>347</v>
      </c>
      <c r="E19" s="181">
        <v>389</v>
      </c>
      <c r="F19" s="116">
        <v>377</v>
      </c>
      <c r="G19" s="116">
        <v>381</v>
      </c>
      <c r="H19" s="116"/>
      <c r="I19" s="181">
        <v>428</v>
      </c>
      <c r="J19" s="181">
        <v>397</v>
      </c>
      <c r="K19" s="116"/>
      <c r="L19" s="162">
        <f t="shared" si="0"/>
        <v>2319</v>
      </c>
      <c r="M19" s="120">
        <v>3</v>
      </c>
      <c r="N19" s="120">
        <v>5</v>
      </c>
      <c r="O19" s="120">
        <v>-26</v>
      </c>
      <c r="P19" s="120">
        <v>0</v>
      </c>
      <c r="S19" s="120">
        <v>1</v>
      </c>
    </row>
    <row r="20" spans="1:19" s="100" customFormat="1" ht="16.5" thickBot="1">
      <c r="A20" s="100" t="s">
        <v>14</v>
      </c>
      <c r="B20" s="101" t="s">
        <v>15</v>
      </c>
      <c r="C20" s="108">
        <v>379</v>
      </c>
      <c r="D20" s="108"/>
      <c r="E20" s="236">
        <v>414</v>
      </c>
      <c r="F20" s="236">
        <v>420</v>
      </c>
      <c r="G20" s="236">
        <v>446</v>
      </c>
      <c r="H20" s="108"/>
      <c r="I20" s="236">
        <v>497</v>
      </c>
      <c r="J20" s="108"/>
      <c r="K20" s="108">
        <v>402</v>
      </c>
      <c r="L20" s="160">
        <f t="shared" si="0"/>
        <v>2558</v>
      </c>
      <c r="M20" s="145">
        <v>6</v>
      </c>
      <c r="N20" s="145">
        <v>2</v>
      </c>
      <c r="O20" s="150">
        <v>115</v>
      </c>
      <c r="P20" s="145">
        <v>2</v>
      </c>
      <c r="Q20" s="145">
        <v>1</v>
      </c>
      <c r="R20" s="145"/>
      <c r="S20" s="145"/>
    </row>
    <row r="21" spans="3:19" ht="16.5" thickTop="1">
      <c r="C21" s="6">
        <f aca="true" t="shared" si="1" ref="C21:J21">SUM(C6:C20)</f>
        <v>4834</v>
      </c>
      <c r="D21" s="6">
        <f t="shared" si="1"/>
        <v>4459</v>
      </c>
      <c r="E21" s="6">
        <f t="shared" si="1"/>
        <v>5419</v>
      </c>
      <c r="F21" s="6">
        <f t="shared" si="1"/>
        <v>1227</v>
      </c>
      <c r="G21" s="6">
        <f>SUM(G8:G20)+G6</f>
        <v>5476</v>
      </c>
      <c r="H21" s="6">
        <f t="shared" si="1"/>
        <v>364</v>
      </c>
      <c r="I21" s="6">
        <f t="shared" si="1"/>
        <v>6684</v>
      </c>
      <c r="J21" s="6">
        <f t="shared" si="1"/>
        <v>6017</v>
      </c>
      <c r="K21" s="6">
        <f>SUM(K8:K20)+K6</f>
        <v>2817</v>
      </c>
      <c r="Q21" s="2">
        <f>SUM(Q6:Q20)</f>
        <v>5</v>
      </c>
      <c r="R21" s="2">
        <f>SUM(R6:R20)</f>
        <v>0</v>
      </c>
      <c r="S21" s="2">
        <f>SUM(S6:S20)</f>
        <v>10</v>
      </c>
    </row>
    <row r="22" spans="2:11" ht="15.75">
      <c r="B22" s="1" t="s">
        <v>195</v>
      </c>
      <c r="C22" s="6">
        <f aca="true" t="shared" si="2" ref="C22:J22">COUNT(C6:C20)</f>
        <v>12</v>
      </c>
      <c r="D22" s="6">
        <f t="shared" si="2"/>
        <v>11</v>
      </c>
      <c r="E22" s="6">
        <f t="shared" si="2"/>
        <v>13</v>
      </c>
      <c r="F22" s="6">
        <f t="shared" si="2"/>
        <v>3</v>
      </c>
      <c r="G22" s="6">
        <f>COUNT(G8:G20)+COUNT(G6)</f>
        <v>13</v>
      </c>
      <c r="H22" s="6">
        <f t="shared" si="2"/>
        <v>1</v>
      </c>
      <c r="I22" s="6">
        <f t="shared" si="2"/>
        <v>15</v>
      </c>
      <c r="J22" s="6">
        <f t="shared" si="2"/>
        <v>14</v>
      </c>
      <c r="K22" s="6">
        <f>COUNT(K8:K20)+COUNT(K6)</f>
        <v>7</v>
      </c>
    </row>
    <row r="23" spans="2:19" ht="31.5">
      <c r="B23" s="11" t="s">
        <v>112</v>
      </c>
      <c r="C23" s="16">
        <f>C21/C22</f>
        <v>402.8333333333333</v>
      </c>
      <c r="D23" s="16">
        <f>D21/D22</f>
        <v>405.3636363636364</v>
      </c>
      <c r="E23" s="16">
        <f>E21/E22</f>
        <v>416.84615384615387</v>
      </c>
      <c r="F23" s="16"/>
      <c r="G23" s="16">
        <f>G21/G22</f>
        <v>421.2307692307692</v>
      </c>
      <c r="H23" s="16">
        <f>H21/H22</f>
        <v>364</v>
      </c>
      <c r="I23" s="16">
        <f>I21/I22</f>
        <v>445.6</v>
      </c>
      <c r="J23" s="16">
        <f>J21/J22</f>
        <v>429.7857142857143</v>
      </c>
      <c r="K23" s="16">
        <f>K21/K22</f>
        <v>402.42857142857144</v>
      </c>
      <c r="L23" s="3" t="s">
        <v>27</v>
      </c>
      <c r="M23" s="308" t="s">
        <v>102</v>
      </c>
      <c r="N23" s="308"/>
      <c r="O23" s="3" t="s">
        <v>28</v>
      </c>
      <c r="P23" s="10" t="s">
        <v>103</v>
      </c>
      <c r="R23" s="40" t="s">
        <v>111</v>
      </c>
      <c r="S23" s="40" t="s">
        <v>192</v>
      </c>
    </row>
    <row r="24" spans="12:19" ht="15.75">
      <c r="L24" s="6">
        <f>SUM(L6:L20)</f>
        <v>37689</v>
      </c>
      <c r="M24" s="1">
        <f>SUM(M6:M20)</f>
        <v>50</v>
      </c>
      <c r="N24" s="1">
        <f>SUM(N6:N20)</f>
        <v>70</v>
      </c>
      <c r="O24" s="1">
        <f>SUM(O6:O20)</f>
        <v>-572</v>
      </c>
      <c r="P24" s="1">
        <f>SUM(P6:P20)</f>
        <v>10</v>
      </c>
      <c r="R24" s="2">
        <f>M24-N24</f>
        <v>-20</v>
      </c>
      <c r="S24" s="2">
        <f>SUM(Q21:S21)</f>
        <v>15</v>
      </c>
    </row>
    <row r="25" ht="15.75">
      <c r="F25" s="14"/>
    </row>
    <row r="26" spans="3:9" ht="15.75">
      <c r="C26" s="309" t="s">
        <v>33</v>
      </c>
      <c r="D26" s="309"/>
      <c r="E26" s="311" t="s">
        <v>117</v>
      </c>
      <c r="F26" s="311"/>
      <c r="H26" s="310" t="s">
        <v>118</v>
      </c>
      <c r="I26" s="310"/>
    </row>
    <row r="27" spans="1:19" ht="16.5" thickBot="1">
      <c r="A27" s="39"/>
      <c r="B27" s="39"/>
      <c r="C27" s="63"/>
      <c r="D27" s="39"/>
      <c r="E27" s="64"/>
      <c r="F27" s="64"/>
      <c r="G27" s="39"/>
      <c r="H27" s="65"/>
      <c r="I27" s="65"/>
      <c r="J27" s="39"/>
      <c r="K27" s="39"/>
      <c r="L27" s="39"/>
      <c r="M27" s="39"/>
      <c r="N27" s="39"/>
      <c r="O27" s="39"/>
      <c r="P27" s="39"/>
      <c r="Q27" s="62"/>
      <c r="R27" s="62"/>
      <c r="S27" s="62"/>
    </row>
    <row r="29" spans="2:19" ht="32.25" thickBot="1">
      <c r="B29" s="3" t="s">
        <v>22</v>
      </c>
      <c r="C29" s="8" t="s">
        <v>70</v>
      </c>
      <c r="D29" s="8" t="s">
        <v>71</v>
      </c>
      <c r="E29" s="8" t="s">
        <v>72</v>
      </c>
      <c r="F29" s="8" t="s">
        <v>73</v>
      </c>
      <c r="G29" s="8" t="s">
        <v>74</v>
      </c>
      <c r="H29" s="12" t="s">
        <v>120</v>
      </c>
      <c r="I29" s="82" t="s">
        <v>121</v>
      </c>
      <c r="J29" s="8" t="s">
        <v>98</v>
      </c>
      <c r="K29" s="8" t="s">
        <v>191</v>
      </c>
      <c r="L29" s="3" t="s">
        <v>27</v>
      </c>
      <c r="M29" s="3" t="s">
        <v>18</v>
      </c>
      <c r="N29" s="3" t="s">
        <v>26</v>
      </c>
      <c r="O29" s="3" t="s">
        <v>28</v>
      </c>
      <c r="P29" s="10" t="s">
        <v>101</v>
      </c>
      <c r="Q29" s="2" t="s">
        <v>162</v>
      </c>
      <c r="R29" s="2" t="s">
        <v>163</v>
      </c>
      <c r="S29" s="2" t="s">
        <v>164</v>
      </c>
    </row>
    <row r="30" spans="1:19" s="97" customFormat="1" ht="15.75">
      <c r="A30" s="95" t="s">
        <v>286</v>
      </c>
      <c r="B30" s="225" t="s">
        <v>259</v>
      </c>
      <c r="C30" s="227">
        <v>413</v>
      </c>
      <c r="D30" s="225"/>
      <c r="E30" s="232">
        <v>440</v>
      </c>
      <c r="F30" s="225">
        <v>389</v>
      </c>
      <c r="G30" s="225">
        <v>367</v>
      </c>
      <c r="H30" s="225"/>
      <c r="I30" s="232">
        <v>445</v>
      </c>
      <c r="J30" s="232">
        <v>433</v>
      </c>
      <c r="K30" s="225"/>
      <c r="L30" s="238">
        <f aca="true" t="shared" si="3" ref="L30:L44">SUM(C30:K30)</f>
        <v>2487</v>
      </c>
      <c r="M30" s="95">
        <v>3</v>
      </c>
      <c r="N30" s="95">
        <v>5</v>
      </c>
      <c r="O30" s="95">
        <v>-44</v>
      </c>
      <c r="P30" s="95">
        <v>0</v>
      </c>
      <c r="S30" s="97">
        <v>1</v>
      </c>
    </row>
    <row r="31" spans="1:17" s="115" customFormat="1" ht="15.75">
      <c r="A31" s="219" t="s">
        <v>287</v>
      </c>
      <c r="B31" s="220" t="s">
        <v>19</v>
      </c>
      <c r="C31" s="204">
        <v>210</v>
      </c>
      <c r="D31" s="220"/>
      <c r="E31" s="224">
        <v>429</v>
      </c>
      <c r="F31" s="224">
        <v>432</v>
      </c>
      <c r="G31" s="220">
        <v>192</v>
      </c>
      <c r="H31" s="220"/>
      <c r="I31" s="224">
        <v>444</v>
      </c>
      <c r="J31" s="224">
        <v>426</v>
      </c>
      <c r="K31" s="220">
        <v>397</v>
      </c>
      <c r="L31" s="161">
        <f t="shared" si="3"/>
        <v>2530</v>
      </c>
      <c r="M31" s="219">
        <v>6</v>
      </c>
      <c r="N31" s="219">
        <v>2</v>
      </c>
      <c r="O31" s="219">
        <v>179</v>
      </c>
      <c r="P31" s="219">
        <v>2</v>
      </c>
      <c r="Q31" s="115">
        <v>1</v>
      </c>
    </row>
    <row r="32" spans="1:17" s="97" customFormat="1" ht="15.75">
      <c r="A32" s="95" t="s">
        <v>136</v>
      </c>
      <c r="B32" s="227" t="s">
        <v>20</v>
      </c>
      <c r="C32" s="232">
        <v>441</v>
      </c>
      <c r="D32" s="232">
        <v>455</v>
      </c>
      <c r="E32" s="225"/>
      <c r="F32" s="225">
        <v>427</v>
      </c>
      <c r="G32" s="225">
        <v>424</v>
      </c>
      <c r="H32" s="225"/>
      <c r="I32" s="225">
        <v>424</v>
      </c>
      <c r="J32" s="232">
        <v>428</v>
      </c>
      <c r="K32" s="225"/>
      <c r="L32" s="238">
        <f t="shared" si="3"/>
        <v>2599</v>
      </c>
      <c r="M32" s="95">
        <v>5</v>
      </c>
      <c r="N32" s="95">
        <v>3</v>
      </c>
      <c r="O32" s="95">
        <v>79</v>
      </c>
      <c r="P32" s="95">
        <v>2</v>
      </c>
      <c r="Q32" s="97">
        <v>1</v>
      </c>
    </row>
    <row r="33" spans="1:17" s="115" customFormat="1" ht="15.75">
      <c r="A33" s="219" t="s">
        <v>137</v>
      </c>
      <c r="B33" s="220" t="s">
        <v>220</v>
      </c>
      <c r="C33" s="204">
        <v>379</v>
      </c>
      <c r="D33" s="224">
        <v>443</v>
      </c>
      <c r="E33" s="220">
        <v>402</v>
      </c>
      <c r="F33" s="224">
        <v>413</v>
      </c>
      <c r="G33" s="220"/>
      <c r="H33" s="220"/>
      <c r="I33" s="224">
        <v>453</v>
      </c>
      <c r="J33" s="224">
        <v>440</v>
      </c>
      <c r="K33" s="220"/>
      <c r="L33" s="161">
        <f t="shared" si="3"/>
        <v>2530</v>
      </c>
      <c r="M33" s="219">
        <v>6</v>
      </c>
      <c r="N33" s="219">
        <v>2</v>
      </c>
      <c r="O33" s="219">
        <f>L33-2519</f>
        <v>11</v>
      </c>
      <c r="P33" s="219">
        <v>2</v>
      </c>
      <c r="Q33" s="115">
        <v>1</v>
      </c>
    </row>
    <row r="34" spans="1:17" s="97" customFormat="1" ht="15.75">
      <c r="A34" s="95" t="s">
        <v>138</v>
      </c>
      <c r="B34" s="225" t="s">
        <v>179</v>
      </c>
      <c r="C34" s="232">
        <v>422</v>
      </c>
      <c r="D34" s="232">
        <v>423</v>
      </c>
      <c r="E34" s="225"/>
      <c r="F34" s="225">
        <v>415</v>
      </c>
      <c r="G34" s="225">
        <v>404</v>
      </c>
      <c r="H34" s="225"/>
      <c r="I34" s="232">
        <v>484</v>
      </c>
      <c r="J34" s="232">
        <v>453</v>
      </c>
      <c r="K34" s="225"/>
      <c r="L34" s="238">
        <f t="shared" si="3"/>
        <v>2601</v>
      </c>
      <c r="M34" s="95">
        <v>6</v>
      </c>
      <c r="N34" s="95">
        <v>2</v>
      </c>
      <c r="O34" s="95">
        <v>86</v>
      </c>
      <c r="P34" s="95">
        <v>2</v>
      </c>
      <c r="Q34" s="97">
        <v>1</v>
      </c>
    </row>
    <row r="35" spans="1:19" s="115" customFormat="1" ht="15.75">
      <c r="A35" s="219" t="s">
        <v>139</v>
      </c>
      <c r="B35" s="204" t="s">
        <v>219</v>
      </c>
      <c r="C35" s="204">
        <v>423</v>
      </c>
      <c r="D35" s="220">
        <v>414</v>
      </c>
      <c r="E35" s="220"/>
      <c r="F35" s="220">
        <v>423</v>
      </c>
      <c r="G35" s="220">
        <v>401</v>
      </c>
      <c r="H35" s="220"/>
      <c r="I35" s="224">
        <v>440</v>
      </c>
      <c r="J35" s="224">
        <v>439</v>
      </c>
      <c r="K35" s="220"/>
      <c r="L35" s="161">
        <f t="shared" si="3"/>
        <v>2540</v>
      </c>
      <c r="M35" s="219">
        <v>2</v>
      </c>
      <c r="N35" s="219">
        <v>6</v>
      </c>
      <c r="O35" s="219">
        <v>-87</v>
      </c>
      <c r="P35" s="219">
        <v>0</v>
      </c>
      <c r="S35" s="115">
        <v>1</v>
      </c>
    </row>
    <row r="36" spans="1:17" s="115" customFormat="1" ht="15.75">
      <c r="A36" s="219" t="s">
        <v>140</v>
      </c>
      <c r="B36" s="220" t="s">
        <v>177</v>
      </c>
      <c r="C36" s="224">
        <v>445</v>
      </c>
      <c r="D36" s="224">
        <v>455</v>
      </c>
      <c r="E36" s="220">
        <v>440</v>
      </c>
      <c r="F36" s="220"/>
      <c r="G36" s="220"/>
      <c r="H36" s="220"/>
      <c r="I36" s="224">
        <v>451</v>
      </c>
      <c r="J36" s="220">
        <v>438</v>
      </c>
      <c r="K36" s="220">
        <v>404</v>
      </c>
      <c r="L36" s="161">
        <f t="shared" si="3"/>
        <v>2633</v>
      </c>
      <c r="M36" s="219">
        <v>5</v>
      </c>
      <c r="N36" s="219">
        <v>3</v>
      </c>
      <c r="O36" s="219">
        <v>22</v>
      </c>
      <c r="P36" s="219">
        <v>2</v>
      </c>
      <c r="Q36" s="115">
        <v>1</v>
      </c>
    </row>
    <row r="37" spans="1:19" s="97" customFormat="1" ht="15.75">
      <c r="A37" s="95" t="s">
        <v>141</v>
      </c>
      <c r="B37" s="227" t="s">
        <v>23</v>
      </c>
      <c r="C37" s="227">
        <v>429</v>
      </c>
      <c r="D37" s="232">
        <v>476</v>
      </c>
      <c r="E37" s="225"/>
      <c r="F37" s="225">
        <v>415</v>
      </c>
      <c r="G37" s="225">
        <v>435</v>
      </c>
      <c r="H37" s="225"/>
      <c r="I37" s="232">
        <v>458</v>
      </c>
      <c r="J37" s="225">
        <v>435</v>
      </c>
      <c r="K37" s="225"/>
      <c r="L37" s="238">
        <f t="shared" si="3"/>
        <v>2648</v>
      </c>
      <c r="M37" s="95">
        <v>2</v>
      </c>
      <c r="N37" s="95">
        <v>6</v>
      </c>
      <c r="O37" s="95">
        <v>-36</v>
      </c>
      <c r="P37" s="95">
        <v>0</v>
      </c>
      <c r="S37" s="97">
        <v>1</v>
      </c>
    </row>
    <row r="38" spans="1:19" s="115" customFormat="1" ht="15.75">
      <c r="A38" s="219" t="s">
        <v>142</v>
      </c>
      <c r="B38" s="204" t="s">
        <v>15</v>
      </c>
      <c r="C38" s="204"/>
      <c r="D38" s="220">
        <v>414</v>
      </c>
      <c r="E38" s="220">
        <v>417</v>
      </c>
      <c r="F38" s="220">
        <v>421</v>
      </c>
      <c r="G38" s="220">
        <v>386</v>
      </c>
      <c r="H38" s="220"/>
      <c r="I38" s="224">
        <v>475</v>
      </c>
      <c r="J38" s="224">
        <v>447</v>
      </c>
      <c r="K38" s="220"/>
      <c r="L38" s="161">
        <f t="shared" si="3"/>
        <v>2560</v>
      </c>
      <c r="M38" s="219">
        <v>2</v>
      </c>
      <c r="N38" s="219">
        <v>6</v>
      </c>
      <c r="O38" s="219">
        <v>-75</v>
      </c>
      <c r="P38" s="219">
        <v>0</v>
      </c>
      <c r="S38" s="115">
        <v>1</v>
      </c>
    </row>
    <row r="39" spans="1:17" s="97" customFormat="1" ht="15.75">
      <c r="A39" s="95" t="s">
        <v>143</v>
      </c>
      <c r="B39" s="225" t="s">
        <v>180</v>
      </c>
      <c r="C39" s="227"/>
      <c r="D39" s="232">
        <v>439</v>
      </c>
      <c r="E39" s="232">
        <v>448</v>
      </c>
      <c r="F39" s="225"/>
      <c r="G39" s="225">
        <v>427</v>
      </c>
      <c r="H39" s="225"/>
      <c r="I39" s="232">
        <v>459</v>
      </c>
      <c r="J39" s="232">
        <v>443</v>
      </c>
      <c r="K39" s="225">
        <v>380</v>
      </c>
      <c r="L39" s="238">
        <f t="shared" si="3"/>
        <v>2596</v>
      </c>
      <c r="M39" s="95">
        <v>6</v>
      </c>
      <c r="N39" s="95">
        <v>2</v>
      </c>
      <c r="O39" s="95">
        <v>98</v>
      </c>
      <c r="P39" s="95">
        <v>2</v>
      </c>
      <c r="Q39" s="97">
        <v>1</v>
      </c>
    </row>
    <row r="40" spans="1:19" s="115" customFormat="1" ht="15.75">
      <c r="A40" s="219" t="s">
        <v>144</v>
      </c>
      <c r="B40" s="116" t="s">
        <v>218</v>
      </c>
      <c r="C40" s="204">
        <v>421</v>
      </c>
      <c r="D40" s="224">
        <v>446</v>
      </c>
      <c r="E40" s="220">
        <v>390</v>
      </c>
      <c r="F40" s="224">
        <v>443</v>
      </c>
      <c r="G40" s="220">
        <v>375</v>
      </c>
      <c r="H40" s="220"/>
      <c r="I40" s="224">
        <v>489</v>
      </c>
      <c r="J40" s="220"/>
      <c r="K40" s="220"/>
      <c r="L40" s="161">
        <f t="shared" si="3"/>
        <v>2564</v>
      </c>
      <c r="M40" s="219">
        <v>3</v>
      </c>
      <c r="N40" s="219">
        <v>5</v>
      </c>
      <c r="O40" s="219">
        <v>-90</v>
      </c>
      <c r="P40" s="219">
        <v>0</v>
      </c>
      <c r="S40" s="115">
        <v>1</v>
      </c>
    </row>
    <row r="41" spans="1:17" s="97" customFormat="1" ht="15.75">
      <c r="A41" s="95" t="s">
        <v>145</v>
      </c>
      <c r="B41" s="225" t="s">
        <v>17</v>
      </c>
      <c r="C41" s="232">
        <v>413</v>
      </c>
      <c r="D41" s="225">
        <v>394</v>
      </c>
      <c r="E41" s="232">
        <v>431</v>
      </c>
      <c r="F41" s="232">
        <v>434</v>
      </c>
      <c r="G41" s="232">
        <v>458</v>
      </c>
      <c r="H41" s="225"/>
      <c r="I41" s="225">
        <v>404</v>
      </c>
      <c r="J41" s="225"/>
      <c r="K41" s="225"/>
      <c r="L41" s="238">
        <f t="shared" si="3"/>
        <v>2534</v>
      </c>
      <c r="M41" s="95">
        <v>6</v>
      </c>
      <c r="N41" s="95">
        <v>2</v>
      </c>
      <c r="O41" s="95">
        <v>2</v>
      </c>
      <c r="P41" s="95">
        <v>2</v>
      </c>
      <c r="Q41" s="97">
        <v>1</v>
      </c>
    </row>
    <row r="42" spans="1:17" s="115" customFormat="1" ht="15.75">
      <c r="A42" s="219" t="s">
        <v>146</v>
      </c>
      <c r="B42" s="220" t="s">
        <v>258</v>
      </c>
      <c r="C42" s="204"/>
      <c r="D42" s="220">
        <v>408</v>
      </c>
      <c r="E42" s="224">
        <v>477</v>
      </c>
      <c r="F42" s="224">
        <v>429</v>
      </c>
      <c r="G42" s="220">
        <v>396</v>
      </c>
      <c r="H42" s="220"/>
      <c r="I42" s="224">
        <v>429</v>
      </c>
      <c r="J42" s="220">
        <v>423</v>
      </c>
      <c r="K42" s="220"/>
      <c r="L42" s="161">
        <f t="shared" si="3"/>
        <v>2562</v>
      </c>
      <c r="M42" s="219">
        <v>5</v>
      </c>
      <c r="N42" s="219">
        <v>3</v>
      </c>
      <c r="O42" s="219">
        <v>2</v>
      </c>
      <c r="P42" s="219">
        <v>2</v>
      </c>
      <c r="Q42" s="115">
        <v>1</v>
      </c>
    </row>
    <row r="43" spans="1:19" s="97" customFormat="1" ht="15.75">
      <c r="A43" s="95" t="s">
        <v>147</v>
      </c>
      <c r="B43" s="227" t="s">
        <v>178</v>
      </c>
      <c r="C43" s="227">
        <v>410</v>
      </c>
      <c r="D43" s="225"/>
      <c r="E43" s="225">
        <v>438</v>
      </c>
      <c r="F43" s="232">
        <v>461</v>
      </c>
      <c r="G43" s="225">
        <v>422</v>
      </c>
      <c r="H43" s="225"/>
      <c r="I43" s="232">
        <v>452</v>
      </c>
      <c r="J43" s="225">
        <v>424</v>
      </c>
      <c r="K43" s="225"/>
      <c r="L43" s="238">
        <f t="shared" si="3"/>
        <v>2607</v>
      </c>
      <c r="M43" s="95">
        <v>2</v>
      </c>
      <c r="N43" s="95">
        <v>6</v>
      </c>
      <c r="O43" s="95">
        <v>-6</v>
      </c>
      <c r="P43" s="95">
        <v>0</v>
      </c>
      <c r="S43" s="97">
        <v>1</v>
      </c>
    </row>
    <row r="44" spans="1:17" s="115" customFormat="1" ht="16.5" thickBot="1">
      <c r="A44" s="219" t="s">
        <v>148</v>
      </c>
      <c r="B44" s="220" t="s">
        <v>257</v>
      </c>
      <c r="C44" s="235">
        <v>435</v>
      </c>
      <c r="D44" s="125"/>
      <c r="E44" s="125">
        <v>398</v>
      </c>
      <c r="F44" s="125">
        <v>425</v>
      </c>
      <c r="G44" s="235">
        <v>454</v>
      </c>
      <c r="H44" s="125"/>
      <c r="I44" s="235">
        <v>442</v>
      </c>
      <c r="J44" s="235">
        <v>449</v>
      </c>
      <c r="K44" s="126"/>
      <c r="L44" s="161">
        <f t="shared" si="3"/>
        <v>2603</v>
      </c>
      <c r="M44" s="219">
        <v>6</v>
      </c>
      <c r="N44" s="219">
        <v>2</v>
      </c>
      <c r="O44" s="219">
        <v>53</v>
      </c>
      <c r="P44" s="219">
        <v>2</v>
      </c>
      <c r="Q44" s="115">
        <v>1</v>
      </c>
    </row>
    <row r="45" spans="3:19" ht="16.5" thickTop="1">
      <c r="C45" s="7">
        <f>SUM(C32:C44)+C30</f>
        <v>4631</v>
      </c>
      <c r="D45" s="7">
        <f>SUM(D30:D44)</f>
        <v>4767</v>
      </c>
      <c r="E45" s="7">
        <f>SUM(E30:E44)</f>
        <v>4710</v>
      </c>
      <c r="F45" s="7">
        <f>SUM(F30:F39)+SUM(F41:F44)</f>
        <v>5084</v>
      </c>
      <c r="G45" s="7">
        <f>SUM(G32:G44)+G30</f>
        <v>4949</v>
      </c>
      <c r="H45" s="7">
        <f>SUM(H30:H44)</f>
        <v>0</v>
      </c>
      <c r="I45" s="7">
        <f>SUM(I30:I44)</f>
        <v>6749</v>
      </c>
      <c r="J45" s="7">
        <f>SUM(J30:J39)+SUM(J41:J44)</f>
        <v>5678</v>
      </c>
      <c r="K45" s="7">
        <f>SUM(K30:K44)</f>
        <v>1181</v>
      </c>
      <c r="M45" s="1">
        <f>SUM(M30:M44)</f>
        <v>65</v>
      </c>
      <c r="N45" s="1">
        <f>SUM(N30:N44)</f>
        <v>55</v>
      </c>
      <c r="O45" s="1">
        <f>SUM(O30:O44)</f>
        <v>194</v>
      </c>
      <c r="P45" s="1">
        <f>SUM(P30:P44)</f>
        <v>18</v>
      </c>
      <c r="Q45" s="1">
        <f>SUM(Q30:Q44)+Q21</f>
        <v>14</v>
      </c>
      <c r="R45" s="1">
        <f>SUM(R30:R44)+R21</f>
        <v>0</v>
      </c>
      <c r="S45" s="1">
        <f>SUM(S30:S44)+S21</f>
        <v>16</v>
      </c>
    </row>
    <row r="46" spans="2:11" ht="15.75">
      <c r="B46" s="36" t="s">
        <v>211</v>
      </c>
      <c r="C46" s="1">
        <f>COUNT(C32:C44)+COUNT(C30)</f>
        <v>11</v>
      </c>
      <c r="D46" s="1">
        <f>COUNT(D30:D44)</f>
        <v>11</v>
      </c>
      <c r="E46" s="1">
        <f>COUNT(E30:E44)</f>
        <v>11</v>
      </c>
      <c r="F46" s="1">
        <f>COUNT(F30:F39)+COUNT(F41:F44)</f>
        <v>12</v>
      </c>
      <c r="G46" s="1">
        <f>COUNT(G32:G44)+COUNT(G30)</f>
        <v>12</v>
      </c>
      <c r="H46" s="1">
        <f>COUNT(H30:H44)</f>
        <v>0</v>
      </c>
      <c r="I46" s="1">
        <f>COUNT(I30:I44)</f>
        <v>15</v>
      </c>
      <c r="J46" s="1">
        <f>COUNT(J30:J39)+COUNT(J41:J44)</f>
        <v>13</v>
      </c>
      <c r="K46" s="1">
        <f>COUNT(K30:K44)</f>
        <v>3</v>
      </c>
    </row>
    <row r="47" spans="2:19" ht="31.5">
      <c r="B47" s="11" t="s">
        <v>112</v>
      </c>
      <c r="C47" s="16">
        <f aca="true" t="shared" si="4" ref="C47:K47">C45/C46</f>
        <v>421</v>
      </c>
      <c r="D47" s="16">
        <f t="shared" si="4"/>
        <v>433.3636363636364</v>
      </c>
      <c r="E47" s="16">
        <f t="shared" si="4"/>
        <v>428.1818181818182</v>
      </c>
      <c r="F47" s="16">
        <f t="shared" si="4"/>
        <v>423.6666666666667</v>
      </c>
      <c r="G47" s="16">
        <f t="shared" si="4"/>
        <v>412.4166666666667</v>
      </c>
      <c r="H47" s="16" t="e">
        <f t="shared" si="4"/>
        <v>#DIV/0!</v>
      </c>
      <c r="I47" s="16">
        <f t="shared" si="4"/>
        <v>449.93333333333334</v>
      </c>
      <c r="J47" s="16">
        <f t="shared" si="4"/>
        <v>436.7692307692308</v>
      </c>
      <c r="K47" s="16">
        <f t="shared" si="4"/>
        <v>393.6666666666667</v>
      </c>
      <c r="L47" s="3" t="s">
        <v>27</v>
      </c>
      <c r="M47" s="308" t="s">
        <v>102</v>
      </c>
      <c r="N47" s="308"/>
      <c r="O47" s="3" t="s">
        <v>28</v>
      </c>
      <c r="P47" s="10" t="s">
        <v>103</v>
      </c>
      <c r="R47" s="40" t="s">
        <v>111</v>
      </c>
      <c r="S47" s="40" t="s">
        <v>192</v>
      </c>
    </row>
    <row r="48" spans="12:19" ht="15.75">
      <c r="L48" s="6">
        <f>SUM(L30:L44)+L24</f>
        <v>76283</v>
      </c>
      <c r="M48" s="6">
        <f>SUM(M30:M44)+M24</f>
        <v>115</v>
      </c>
      <c r="N48" s="6">
        <f>SUM(N30:N44)+N24</f>
        <v>125</v>
      </c>
      <c r="O48" s="6">
        <f>SUM(O30:O44)+O24</f>
        <v>-378</v>
      </c>
      <c r="P48" s="6">
        <f>SUM(P30:P44)+P24</f>
        <v>28</v>
      </c>
      <c r="R48" s="2">
        <f>M48-N48</f>
        <v>-10</v>
      </c>
      <c r="S48" s="2">
        <f>SUM(Q45:S45)</f>
        <v>30</v>
      </c>
    </row>
    <row r="50" spans="12:13" ht="15.75">
      <c r="L50" s="1" t="s">
        <v>113</v>
      </c>
      <c r="M50" s="18">
        <f>L48/S48</f>
        <v>2542.766666666667</v>
      </c>
    </row>
  </sheetData>
  <sheetProtection/>
  <mergeCells count="11">
    <mergeCell ref="D1:E1"/>
    <mergeCell ref="J2:K2"/>
    <mergeCell ref="G1:H1"/>
    <mergeCell ref="J1:K1"/>
    <mergeCell ref="M47:N47"/>
    <mergeCell ref="C4:K4"/>
    <mergeCell ref="M4:N4"/>
    <mergeCell ref="M23:N23"/>
    <mergeCell ref="E26:F26"/>
    <mergeCell ref="H26:I26"/>
    <mergeCell ref="C26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Villamos79</cp:lastModifiedBy>
  <cp:lastPrinted>2012-09-04T09:31:28Z</cp:lastPrinted>
  <dcterms:created xsi:type="dcterms:W3CDTF">2008-09-16T07:00:15Z</dcterms:created>
  <dcterms:modified xsi:type="dcterms:W3CDTF">2015-04-24T18:53:15Z</dcterms:modified>
  <cp:category/>
  <cp:version/>
  <cp:contentType/>
  <cp:contentStatus/>
</cp:coreProperties>
</file>