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0490" windowHeight="9165" tabRatio="979" activeTab="0"/>
  </bookViews>
  <sheets>
    <sheet name="tabella" sheetId="1" r:id="rId1"/>
    <sheet name="tavaszi rangsor" sheetId="2" r:id="rId2"/>
    <sheet name="Kalmár" sheetId="3" r:id="rId3"/>
    <sheet name="Amazonok és Titánok" sheetId="4" r:id="rId4"/>
    <sheet name="Kinizsi" sheetId="5" r:id="rId5"/>
    <sheet name="Gumigyár" sheetId="6" r:id="rId6"/>
    <sheet name="Santé" sheetId="7" r:id="rId7"/>
    <sheet name="Privát" sheetId="8" r:id="rId8"/>
    <sheet name="Anro ker" sheetId="9" r:id="rId9"/>
    <sheet name="Szefo" sheetId="10" r:id="rId10"/>
    <sheet name="Tápé" sheetId="11" r:id="rId11"/>
    <sheet name="GLB" sheetId="12" r:id="rId12"/>
    <sheet name="Vörös Ördögök" sheetId="13" r:id="rId13"/>
    <sheet name="Dél Akku" sheetId="14" r:id="rId14"/>
    <sheet name="Temesvári Hús" sheetId="15" r:id="rId15"/>
    <sheet name="Partiscum" sheetId="16" r:id="rId16"/>
    <sheet name="Fa-Team" sheetId="17" r:id="rId17"/>
    <sheet name="Euroteke" sheetId="18" r:id="rId18"/>
    <sheet name="Postás" sheetId="19" r:id="rId19"/>
    <sheet name="Munka1" sheetId="20" r:id="rId20"/>
  </sheets>
  <definedNames/>
  <calcPr fullCalcOnLoad="1"/>
</workbook>
</file>

<file path=xl/sharedStrings.xml><?xml version="1.0" encoding="utf-8"?>
<sst xmlns="http://schemas.openxmlformats.org/spreadsheetml/2006/main" count="2759" uniqueCount="307">
  <si>
    <t>1. Forduló</t>
  </si>
  <si>
    <t>2. Forduló</t>
  </si>
  <si>
    <t>3. Forduló</t>
  </si>
  <si>
    <t>4. Forduló</t>
  </si>
  <si>
    <t>5. Forduló</t>
  </si>
  <si>
    <t>6. Forduló</t>
  </si>
  <si>
    <t>7. Forduló</t>
  </si>
  <si>
    <t>8. Forduló</t>
  </si>
  <si>
    <t>9. Forduló</t>
  </si>
  <si>
    <t>10. Forduló</t>
  </si>
  <si>
    <t>11. Forduló</t>
  </si>
  <si>
    <t>12. Forduló</t>
  </si>
  <si>
    <t>13. Forduló</t>
  </si>
  <si>
    <t>14. Forduló</t>
  </si>
  <si>
    <t>15. Forduló</t>
  </si>
  <si>
    <t>Tápé</t>
  </si>
  <si>
    <t>Kalmár</t>
  </si>
  <si>
    <t>Privát</t>
  </si>
  <si>
    <t>Anro Ker</t>
  </si>
  <si>
    <t>Szefo</t>
  </si>
  <si>
    <t>Dél Akku</t>
  </si>
  <si>
    <t>Postás</t>
  </si>
  <si>
    <t>Santé</t>
  </si>
  <si>
    <t>Amazonok</t>
  </si>
  <si>
    <t>Ellenfél</t>
  </si>
  <si>
    <t>Kinizsi</t>
  </si>
  <si>
    <t>Dobók</t>
  </si>
  <si>
    <t>mérkőzés eredménye</t>
  </si>
  <si>
    <t>ellenfél</t>
  </si>
  <si>
    <t>Össz. dobott fa</t>
  </si>
  <si>
    <t>fa különbség</t>
  </si>
  <si>
    <t>Olajos Mihály</t>
  </si>
  <si>
    <t>Szabó László</t>
  </si>
  <si>
    <t>Kaufmann Zoltán</t>
  </si>
  <si>
    <t>Gyuris Gábor</t>
  </si>
  <si>
    <t>Elek-Savanya István</t>
  </si>
  <si>
    <t>Tímár Edina</t>
  </si>
  <si>
    <t>Pontfogók jelölése</t>
  </si>
  <si>
    <t>Vidács István</t>
  </si>
  <si>
    <t>Mészáros Mihály</t>
  </si>
  <si>
    <t>Bálint József</t>
  </si>
  <si>
    <t>Avar György</t>
  </si>
  <si>
    <t>Kővári Árpád</t>
  </si>
  <si>
    <t>Teimel Zoltán</t>
  </si>
  <si>
    <t>Retek Ferenc</t>
  </si>
  <si>
    <t>Ábrahám László</t>
  </si>
  <si>
    <t>Ráczné Erzsi</t>
  </si>
  <si>
    <t>Nagy József</t>
  </si>
  <si>
    <t>Mogyorósi László</t>
  </si>
  <si>
    <t>Kónya János</t>
  </si>
  <si>
    <t>Papp László</t>
  </si>
  <si>
    <t>Török Gábor</t>
  </si>
  <si>
    <t>Csanádiné Ari</t>
  </si>
  <si>
    <t>Pallagi János</t>
  </si>
  <si>
    <t>Pallaginé Piroska</t>
  </si>
  <si>
    <t>Ohátné Böbe</t>
  </si>
  <si>
    <t>Óhidy István</t>
  </si>
  <si>
    <t>Dancsó Antal</t>
  </si>
  <si>
    <t>Moráth László</t>
  </si>
  <si>
    <t>Jaksa Tibor</t>
  </si>
  <si>
    <t>Balogh László</t>
  </si>
  <si>
    <t>Naschitz Károly</t>
  </si>
  <si>
    <t>Zsódi Imre</t>
  </si>
  <si>
    <t>Lázár János</t>
  </si>
  <si>
    <t>Ifj. Bogdán Gábor</t>
  </si>
  <si>
    <t>Hódi Tamás</t>
  </si>
  <si>
    <t>Bogdán Gábor</t>
  </si>
  <si>
    <t>Péter Csaba</t>
  </si>
  <si>
    <t>Bodócsi László</t>
  </si>
  <si>
    <t>Mladin István</t>
  </si>
  <si>
    <t>Papp Tamás</t>
  </si>
  <si>
    <t>Calbert László</t>
  </si>
  <si>
    <t>Nagymihályné Böbe</t>
  </si>
  <si>
    <t>Busa Endre</t>
  </si>
  <si>
    <t>Battancs Szilveszter</t>
  </si>
  <si>
    <t>Kerti Róbert</t>
  </si>
  <si>
    <t>Majoros Gyula</t>
  </si>
  <si>
    <t>Kővágóné Ági</t>
  </si>
  <si>
    <t>Fodor József</t>
  </si>
  <si>
    <t>Lengyel József</t>
  </si>
  <si>
    <t>Sári Zoltán</t>
  </si>
  <si>
    <t>Kollár Zsolt</t>
  </si>
  <si>
    <t>Tóth Mihály</t>
  </si>
  <si>
    <t>Kalmár László</t>
  </si>
  <si>
    <t>Balogh József</t>
  </si>
  <si>
    <t>Naschitz Katalin</t>
  </si>
  <si>
    <t>Török József</t>
  </si>
  <si>
    <t>Kovács György</t>
  </si>
  <si>
    <t>Lőrincz Csaba</t>
  </si>
  <si>
    <t>Dobra Ferenc</t>
  </si>
  <si>
    <t>Mracskó Annamária</t>
  </si>
  <si>
    <t>Réperger István</t>
  </si>
  <si>
    <t>Balla Sándor</t>
  </si>
  <si>
    <t>Nagymihály Ferenc</t>
  </si>
  <si>
    <t>Frank Antal</t>
  </si>
  <si>
    <t>Csamangó Csaba</t>
  </si>
  <si>
    <t>Szendrei Zsolt</t>
  </si>
  <si>
    <t>Szanyi Géza</t>
  </si>
  <si>
    <t>Kalmár József</t>
  </si>
  <si>
    <t>Németh József</t>
  </si>
  <si>
    <t>Balázs István</t>
  </si>
  <si>
    <t>Kórász Anna</t>
  </si>
  <si>
    <t>Ferenczi László</t>
  </si>
  <si>
    <t>Pocsainé Zsuzsa</t>
  </si>
  <si>
    <t>Juhász Tibor</t>
  </si>
  <si>
    <t>Bolgár Tamás</t>
  </si>
  <si>
    <t>Nagy-Dani Károly</t>
  </si>
  <si>
    <t>Forró Anita</t>
  </si>
  <si>
    <t>Szerzett pontok</t>
  </si>
  <si>
    <t>Szett állás</t>
  </si>
  <si>
    <t>Össz pontszám:</t>
  </si>
  <si>
    <t>Eperjesi József</t>
  </si>
  <si>
    <t>Gál Zoltán</t>
  </si>
  <si>
    <t>Kovács Béla</t>
  </si>
  <si>
    <t>Gyöngyösi Mária</t>
  </si>
  <si>
    <t>Berek Tibor</t>
  </si>
  <si>
    <t>Horváth Ibolya</t>
  </si>
  <si>
    <t>Vámosi Lukács</t>
  </si>
  <si>
    <t>szett különbség</t>
  </si>
  <si>
    <t>Átlag:</t>
  </si>
  <si>
    <t>csapat átlag:</t>
  </si>
  <si>
    <t>Farkas Ilona</t>
  </si>
  <si>
    <t>Bajorics Csaba</t>
  </si>
  <si>
    <t>Kendrella István</t>
  </si>
  <si>
    <t>hazai mérkőzés</t>
  </si>
  <si>
    <t>idegenbeli mérkőzés</t>
  </si>
  <si>
    <t>Horváth Hajni</t>
  </si>
  <si>
    <t>Ótott Katalin</t>
  </si>
  <si>
    <t>Kővágó György</t>
  </si>
  <si>
    <t>Tóth Andrea</t>
  </si>
  <si>
    <t>HÉTFŐ</t>
  </si>
  <si>
    <t>17.00</t>
  </si>
  <si>
    <t>KINIZSI  pálya</t>
  </si>
  <si>
    <t>Hazai mérkőzése</t>
  </si>
  <si>
    <t>18.00</t>
  </si>
  <si>
    <t>KISSTADION</t>
  </si>
  <si>
    <t>SZERDA</t>
  </si>
  <si>
    <t>19.00</t>
  </si>
  <si>
    <t>CSÜTÖRTÖK</t>
  </si>
  <si>
    <t>PÉNTEK</t>
  </si>
  <si>
    <t>Bárkai Krisztián</t>
  </si>
  <si>
    <t>Lele József</t>
  </si>
  <si>
    <t>Szabó István</t>
  </si>
  <si>
    <t>Össz. Szettpont</t>
  </si>
  <si>
    <t>Össz. Pont</t>
  </si>
  <si>
    <t>18. forduló</t>
  </si>
  <si>
    <t>19. forduló</t>
  </si>
  <si>
    <t>20. forduló</t>
  </si>
  <si>
    <t>21. forduló</t>
  </si>
  <si>
    <t>22. forduló</t>
  </si>
  <si>
    <t>23. forduló</t>
  </si>
  <si>
    <t>24. forduló</t>
  </si>
  <si>
    <t>25. forduló</t>
  </si>
  <si>
    <t>26. forduló</t>
  </si>
  <si>
    <t>27. forduló</t>
  </si>
  <si>
    <t>28. forduló</t>
  </si>
  <si>
    <t>29. forduló</t>
  </si>
  <si>
    <t>30. forduló</t>
  </si>
  <si>
    <t>Ludvig János</t>
  </si>
  <si>
    <t>Kenéz Ferenc</t>
  </si>
  <si>
    <t>Kun Mária</t>
  </si>
  <si>
    <t>Rangasz Pál</t>
  </si>
  <si>
    <t>Dezső Csaba</t>
  </si>
  <si>
    <t>Wéber Péter</t>
  </si>
  <si>
    <t>Szunyi József</t>
  </si>
  <si>
    <t>Bogdán Tamás</t>
  </si>
  <si>
    <t>Kántor János</t>
  </si>
  <si>
    <t>Huszka Bea</t>
  </si>
  <si>
    <t>Soós Béla</t>
  </si>
  <si>
    <t>Scheibli Zoltán</t>
  </si>
  <si>
    <t>Olajosné Krisztina</t>
  </si>
  <si>
    <t>Tóth Anita</t>
  </si>
  <si>
    <t>Pontszám</t>
  </si>
  <si>
    <t>mérkőzés</t>
  </si>
  <si>
    <t>GY</t>
  </si>
  <si>
    <t>D</t>
  </si>
  <si>
    <t>V</t>
  </si>
  <si>
    <t>Szett pont</t>
  </si>
  <si>
    <t>csapat</t>
  </si>
  <si>
    <t>Domonyi János</t>
  </si>
  <si>
    <t>Benke Zoltán</t>
  </si>
  <si>
    <t>Maróti Katalin</t>
  </si>
  <si>
    <t>Farkas B. Kálmán</t>
  </si>
  <si>
    <t>Tót Zsolt</t>
  </si>
  <si>
    <t>Giday Kálmán</t>
  </si>
  <si>
    <t>Papp Ákos</t>
  </si>
  <si>
    <t>Temesvári Ferenc</t>
  </si>
  <si>
    <t>Csentes József</t>
  </si>
  <si>
    <t>Szerda</t>
  </si>
  <si>
    <t>Csütörtök</t>
  </si>
  <si>
    <t>16.30</t>
  </si>
  <si>
    <t>Euroteke sörözö Tápé</t>
  </si>
  <si>
    <t>Temesvári Hús</t>
  </si>
  <si>
    <t>Fa-Team</t>
  </si>
  <si>
    <t>Kalmár Motor</t>
  </si>
  <si>
    <t>GLB</t>
  </si>
  <si>
    <t>Euroteke</t>
  </si>
  <si>
    <t>Fa Team</t>
  </si>
  <si>
    <t>Papp Róbert</t>
  </si>
  <si>
    <t>Ábrahám Máté</t>
  </si>
  <si>
    <t>Bodó Zoltán</t>
  </si>
  <si>
    <t>Kratochwill József</t>
  </si>
  <si>
    <t>Márta Gergő</t>
  </si>
  <si>
    <t>Rajda Csaba</t>
  </si>
  <si>
    <t>2.</t>
  </si>
  <si>
    <t>Kovács Zsolt</t>
  </si>
  <si>
    <t>Nagy János</t>
  </si>
  <si>
    <t>Tóth Tibor</t>
  </si>
  <si>
    <t>Veres Attila</t>
  </si>
  <si>
    <t>össz. mérkőzés</t>
  </si>
  <si>
    <t>Mérkőzések</t>
  </si>
  <si>
    <t>Mérkőzés</t>
  </si>
  <si>
    <t>Sante</t>
  </si>
  <si>
    <t>mérközés</t>
  </si>
  <si>
    <t>Csapat átlag</t>
  </si>
  <si>
    <t>Idegenben ütött össz. fa:</t>
  </si>
  <si>
    <t>idegenben ütött fa:</t>
  </si>
  <si>
    <t>Azonos pontszám, szettpont esetén az idegenben ütött fa számít</t>
  </si>
  <si>
    <t>amit az a táblázatban is látható</t>
  </si>
  <si>
    <t>3.</t>
  </si>
  <si>
    <t>4.</t>
  </si>
  <si>
    <t>5.</t>
  </si>
  <si>
    <t>6.</t>
  </si>
  <si>
    <t>7.</t>
  </si>
  <si>
    <t>8.</t>
  </si>
  <si>
    <t>9.</t>
  </si>
  <si>
    <t>15.</t>
  </si>
  <si>
    <t>16.</t>
  </si>
  <si>
    <t>Tavaszi átlag</t>
  </si>
  <si>
    <t>tavaszi mérkőzés</t>
  </si>
  <si>
    <t>Tavaszi átlag:</t>
  </si>
  <si>
    <t>Tavaszi mérkőzés</t>
  </si>
  <si>
    <t>Tavaszi mérkőzések</t>
  </si>
  <si>
    <t>Andracsek Roland</t>
  </si>
  <si>
    <t>-</t>
  </si>
  <si>
    <t>Szabó Gábor</t>
  </si>
  <si>
    <t>Csuka Zsanett</t>
  </si>
  <si>
    <t>Buri Jenő</t>
  </si>
  <si>
    <t>Gumigyár</t>
  </si>
  <si>
    <t>16. Forduló</t>
  </si>
  <si>
    <t>17. Forduló</t>
  </si>
  <si>
    <t>Vörös Ördögök</t>
  </si>
  <si>
    <t>Amazonok és Titánok</t>
  </si>
  <si>
    <t>31. forduló</t>
  </si>
  <si>
    <t>32. forduló</t>
  </si>
  <si>
    <t>Győző-Molnár Krisztina</t>
  </si>
  <si>
    <t>Béres Árpád</t>
  </si>
  <si>
    <t>Horváth István</t>
  </si>
  <si>
    <t>id. Faragó Zoltán</t>
  </si>
  <si>
    <t>Szabó Imre</t>
  </si>
  <si>
    <t>Péntek</t>
  </si>
  <si>
    <t>péntek</t>
  </si>
  <si>
    <t>kedd</t>
  </si>
  <si>
    <t>szerda</t>
  </si>
  <si>
    <t>Kinizsi pálya</t>
  </si>
  <si>
    <t>Szabó Sándor</t>
  </si>
  <si>
    <t>Czékmán László</t>
  </si>
  <si>
    <t>Benyhe K Sándor</t>
  </si>
  <si>
    <t>Stercz Péter</t>
  </si>
  <si>
    <t>Lóczi János</t>
  </si>
  <si>
    <t>17.</t>
  </si>
  <si>
    <t>Bordás László</t>
  </si>
  <si>
    <t>Palágyi Andorné</t>
  </si>
  <si>
    <t>Puskás Bertalan</t>
  </si>
  <si>
    <t>Oláh Gábor</t>
  </si>
  <si>
    <t>Varga Lajos</t>
  </si>
  <si>
    <t>33. forduló</t>
  </si>
  <si>
    <t>34. forduló</t>
  </si>
  <si>
    <t>1.</t>
  </si>
  <si>
    <t>Száraz-Zsoldi Mária</t>
  </si>
  <si>
    <t>Csajkás Zsófia</t>
  </si>
  <si>
    <t>Szigeti Bálint</t>
  </si>
  <si>
    <t>Partiscum</t>
  </si>
  <si>
    <t>Baráth Tibor</t>
  </si>
  <si>
    <t>Hajdú Attila</t>
  </si>
  <si>
    <t xml:space="preserve"> Sonkoly László</t>
  </si>
  <si>
    <t>Sörös Dóra</t>
  </si>
  <si>
    <t>Tompáné Panni</t>
  </si>
  <si>
    <t>Süli Nikolett</t>
  </si>
  <si>
    <t>Lakatos András</t>
  </si>
  <si>
    <t>Piros Attila</t>
  </si>
  <si>
    <t>Péter Norbert</t>
  </si>
  <si>
    <t>Márkus László</t>
  </si>
  <si>
    <t>Szani Péter</t>
  </si>
  <si>
    <t>Bazsó János</t>
  </si>
  <si>
    <t>Andracsek Tibor</t>
  </si>
  <si>
    <t>Angyal Péter</t>
  </si>
  <si>
    <t>Ács Tamás</t>
  </si>
  <si>
    <t>Kis Béla</t>
  </si>
  <si>
    <t>Szombati János</t>
  </si>
  <si>
    <t>Kisstadion</t>
  </si>
  <si>
    <t>Majoros Tibor</t>
  </si>
  <si>
    <t>Gyuris Gellért</t>
  </si>
  <si>
    <t>Szepesi István</t>
  </si>
  <si>
    <t>Ifj. Faragó Zoltán</t>
  </si>
  <si>
    <t>Égető Imre</t>
  </si>
  <si>
    <t>Veres Adrien</t>
  </si>
  <si>
    <t>Lovász Tibor</t>
  </si>
  <si>
    <t>Postás SZKSE</t>
  </si>
  <si>
    <t>név</t>
  </si>
  <si>
    <t>Csapat</t>
  </si>
  <si>
    <t>tavaszi átlag</t>
  </si>
  <si>
    <t>Zsibok Zoltán</t>
  </si>
  <si>
    <t>Szekeres Dávid</t>
  </si>
  <si>
    <t>Németh István</t>
  </si>
  <si>
    <t>Galgóczi Tibor</t>
  </si>
  <si>
    <t>2013-2014-es bajnokság alapszakasz végeredménye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</si>
</sst>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#,##0\ &quot;Ft&quot;"/>
  </numFmts>
  <fonts count="4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2"/>
      <name val="akkphon"/>
      <family val="0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sz val="12"/>
      <color indexed="12"/>
      <name val="Times New Roman"/>
      <family val="1"/>
    </font>
    <font>
      <sz val="10"/>
      <color indexed="12"/>
      <name val="Arial CE"/>
      <family val="0"/>
    </font>
    <font>
      <sz val="12"/>
      <color indexed="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E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CC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Dashed"/>
    </border>
    <border>
      <left style="medium"/>
      <right style="medium"/>
      <top style="thin"/>
      <bottom style="mediumDashed"/>
    </border>
    <border diagonalUp="1"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Up="1" diagonalDown="1">
      <left>
        <color indexed="63"/>
      </left>
      <right style="double"/>
      <top>
        <color indexed="63"/>
      </top>
      <bottom style="double"/>
      <diagonal style="thin"/>
    </border>
    <border>
      <left style="double"/>
      <right>
        <color indexed="63"/>
      </right>
      <top>
        <color indexed="63"/>
      </top>
      <bottom style="double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double"/>
      <top style="medium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right"/>
    </xf>
    <xf numFmtId="3" fontId="1" fillId="0" borderId="16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3" fillId="0" borderId="15" xfId="43" applyNumberFormat="1" applyFont="1" applyBorder="1" applyAlignment="1" applyProtection="1">
      <alignment horizontal="center"/>
      <protection/>
    </xf>
    <xf numFmtId="0" fontId="2" fillId="0" borderId="18" xfId="0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14" fillId="0" borderId="15" xfId="43" applyNumberFormat="1" applyFont="1" applyBorder="1" applyAlignment="1" applyProtection="1">
      <alignment horizontal="center"/>
      <protection/>
    </xf>
    <xf numFmtId="3" fontId="1" fillId="0" borderId="14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9" fillId="0" borderId="15" xfId="43" applyNumberFormat="1" applyFont="1" applyBorder="1" applyAlignment="1" applyProtection="1">
      <alignment horizontal="center"/>
      <protection/>
    </xf>
    <xf numFmtId="0" fontId="1" fillId="0" borderId="26" xfId="0" applyFont="1" applyBorder="1" applyAlignment="1">
      <alignment horizontal="center"/>
    </xf>
    <xf numFmtId="3" fontId="9" fillId="0" borderId="14" xfId="43" applyNumberFormat="1" applyFont="1" applyBorder="1" applyAlignment="1" applyProtection="1">
      <alignment horizontal="center"/>
      <protection/>
    </xf>
    <xf numFmtId="3" fontId="9" fillId="0" borderId="21" xfId="43" applyNumberFormat="1" applyFont="1" applyBorder="1" applyAlignment="1" applyProtection="1">
      <alignment horizontal="center"/>
      <protection/>
    </xf>
    <xf numFmtId="3" fontId="13" fillId="0" borderId="21" xfId="43" applyNumberFormat="1" applyFont="1" applyBorder="1" applyAlignment="1" applyProtection="1">
      <alignment horizontal="center"/>
      <protection/>
    </xf>
    <xf numFmtId="3" fontId="14" fillId="0" borderId="21" xfId="43" applyNumberFormat="1" applyFont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13" fillId="0" borderId="14" xfId="43" applyNumberFormat="1" applyFont="1" applyBorder="1" applyAlignment="1" applyProtection="1">
      <alignment horizontal="center"/>
      <protection/>
    </xf>
    <xf numFmtId="3" fontId="14" fillId="0" borderId="14" xfId="43" applyNumberFormat="1" applyFont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9" fillId="0" borderId="30" xfId="43" applyNumberFormat="1" applyFont="1" applyBorder="1" applyAlignment="1" applyProtection="1">
      <alignment horizontal="center"/>
      <protection/>
    </xf>
    <xf numFmtId="3" fontId="13" fillId="0" borderId="30" xfId="43" applyNumberFormat="1" applyFont="1" applyBorder="1" applyAlignment="1" applyProtection="1">
      <alignment horizontal="center"/>
      <protection/>
    </xf>
    <xf numFmtId="3" fontId="14" fillId="0" borderId="30" xfId="43" applyNumberFormat="1" applyFont="1" applyBorder="1" applyAlignment="1" applyProtection="1">
      <alignment horizontal="center"/>
      <protection/>
    </xf>
    <xf numFmtId="3" fontId="0" fillId="0" borderId="30" xfId="0" applyNumberForma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3" xfId="0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3" xfId="0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5" fillId="0" borderId="23" xfId="0" applyNumberFormat="1" applyFont="1" applyBorder="1" applyAlignment="1">
      <alignment horizontal="center"/>
    </xf>
    <xf numFmtId="0" fontId="15" fillId="0" borderId="31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3" fontId="7" fillId="0" borderId="23" xfId="0" applyNumberFormat="1" applyFont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5" fillId="0" borderId="23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Fill="1" applyAlignment="1">
      <alignment/>
    </xf>
    <xf numFmtId="0" fontId="9" fillId="35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7" fillId="36" borderId="0" xfId="0" applyFont="1" applyFill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3" fontId="9" fillId="0" borderId="30" xfId="43" applyNumberFormat="1" applyFont="1" applyFill="1" applyBorder="1" applyAlignment="1" applyProtection="1">
      <alignment horizontal="center"/>
      <protection/>
    </xf>
    <xf numFmtId="3" fontId="13" fillId="0" borderId="30" xfId="43" applyNumberFormat="1" applyFont="1" applyFill="1" applyBorder="1" applyAlignment="1" applyProtection="1">
      <alignment horizontal="center"/>
      <protection/>
    </xf>
    <xf numFmtId="3" fontId="14" fillId="0" borderId="30" xfId="43" applyNumberFormat="1" applyFont="1" applyFill="1" applyBorder="1" applyAlignment="1" applyProtection="1">
      <alignment horizontal="center"/>
      <protection/>
    </xf>
    <xf numFmtId="0" fontId="7" fillId="36" borderId="11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36" borderId="11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O26"/>
  <sheetViews>
    <sheetView tabSelected="1" zoomScalePageLayoutView="0" workbookViewId="0" topLeftCell="C1">
      <selection activeCell="C4" sqref="C4"/>
    </sheetView>
  </sheetViews>
  <sheetFormatPr defaultColWidth="9.00390625" defaultRowHeight="12.75"/>
  <cols>
    <col min="3" max="3" width="7.625" style="0" customWidth="1"/>
    <col min="4" max="4" width="20.00390625" style="0" customWidth="1"/>
    <col min="5" max="5" width="10.125" style="0" bestFit="1" customWidth="1"/>
    <col min="6" max="6" width="7.375" style="0" customWidth="1"/>
    <col min="7" max="7" width="5.75390625" style="0" customWidth="1"/>
    <col min="8" max="8" width="6.125" style="0" customWidth="1"/>
    <col min="9" max="9" width="5.875" style="0" customWidth="1"/>
    <col min="10" max="10" width="5.625" style="0" customWidth="1"/>
    <col min="11" max="11" width="15.875" style="0" bestFit="1" customWidth="1"/>
    <col min="12" max="12" width="10.00390625" style="0" bestFit="1" customWidth="1"/>
    <col min="13" max="13" width="24.75390625" style="0" bestFit="1" customWidth="1"/>
    <col min="14" max="14" width="13.125" style="0" bestFit="1" customWidth="1"/>
    <col min="15" max="15" width="24.75390625" style="0" bestFit="1" customWidth="1"/>
  </cols>
  <sheetData>
    <row r="3" spans="3:14" ht="15.75">
      <c r="C3" s="455" t="s">
        <v>306</v>
      </c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</row>
    <row r="4" ht="13.5" thickBot="1"/>
    <row r="5" spans="3:15" ht="16.5" thickBot="1">
      <c r="C5" s="40"/>
      <c r="D5" s="76" t="s">
        <v>178</v>
      </c>
      <c r="E5" s="76" t="s">
        <v>173</v>
      </c>
      <c r="F5" s="73" t="s">
        <v>174</v>
      </c>
      <c r="G5" s="77" t="s">
        <v>175</v>
      </c>
      <c r="H5" s="74" t="s">
        <v>176</v>
      </c>
      <c r="I5" s="456" t="s">
        <v>177</v>
      </c>
      <c r="J5" s="457"/>
      <c r="K5" s="76" t="s">
        <v>118</v>
      </c>
      <c r="L5" s="76" t="s">
        <v>172</v>
      </c>
      <c r="M5" s="71" t="s">
        <v>215</v>
      </c>
      <c r="N5" s="71" t="s">
        <v>214</v>
      </c>
      <c r="O5" s="78" t="s">
        <v>29</v>
      </c>
    </row>
    <row r="6" spans="3:15" ht="15.75">
      <c r="C6" s="131" t="s">
        <v>268</v>
      </c>
      <c r="D6" s="43" t="s">
        <v>17</v>
      </c>
      <c r="E6" s="81">
        <f>Privát!T51</f>
        <v>32</v>
      </c>
      <c r="F6" s="43">
        <f>Privát!R48</f>
        <v>26</v>
      </c>
      <c r="G6" s="43">
        <f>Privát!S48</f>
        <v>1</v>
      </c>
      <c r="H6" s="43">
        <f>Privát!T48</f>
        <v>5</v>
      </c>
      <c r="I6" s="134">
        <f>Privát!G2</f>
        <v>174</v>
      </c>
      <c r="J6" s="134">
        <f>Privát!I2</f>
        <v>82</v>
      </c>
      <c r="K6" s="156">
        <f>Privát!K2</f>
        <v>92</v>
      </c>
      <c r="L6" s="157">
        <f>Privát!J2</f>
        <v>53</v>
      </c>
      <c r="M6" s="81">
        <f>Privát!N2</f>
        <v>41719</v>
      </c>
      <c r="N6" s="79">
        <f>Privát!P53</f>
        <v>2606.28125</v>
      </c>
      <c r="O6" s="134">
        <f>Privát!M51</f>
        <v>83401</v>
      </c>
    </row>
    <row r="7" spans="3:15" ht="15.75">
      <c r="C7" s="131" t="s">
        <v>204</v>
      </c>
      <c r="D7" s="44" t="s">
        <v>194</v>
      </c>
      <c r="E7" s="44">
        <f>Kalmár!U51</f>
        <v>32</v>
      </c>
      <c r="F7" s="44">
        <f>Kalmár!S48</f>
        <v>26</v>
      </c>
      <c r="G7" s="44">
        <f>Kalmár!T48</f>
        <v>0</v>
      </c>
      <c r="H7" s="44">
        <f>Kalmár!U48</f>
        <v>6</v>
      </c>
      <c r="I7" s="132">
        <f>Kalmár!H2</f>
        <v>170</v>
      </c>
      <c r="J7" s="132">
        <f>Kalmár!I2</f>
        <v>86</v>
      </c>
      <c r="K7" s="70">
        <f>Kalmár!K2</f>
        <v>84</v>
      </c>
      <c r="L7" s="80">
        <f>Kalmár!J2</f>
        <v>52</v>
      </c>
      <c r="M7" s="69">
        <f>Kalmár!O2</f>
        <v>41298</v>
      </c>
      <c r="N7" s="72">
        <f>Kalmár!O53</f>
        <v>2626.21875</v>
      </c>
      <c r="O7" s="132">
        <f>Kalmár!N51</f>
        <v>84039</v>
      </c>
    </row>
    <row r="8" spans="3:15" ht="15.75">
      <c r="C8" s="131" t="s">
        <v>219</v>
      </c>
      <c r="D8" s="44" t="s">
        <v>22</v>
      </c>
      <c r="E8" s="44">
        <f>Santé!T51</f>
        <v>32</v>
      </c>
      <c r="F8" s="44">
        <f>Santé!R48</f>
        <v>23</v>
      </c>
      <c r="G8" s="44">
        <f>Santé!S48</f>
        <v>3</v>
      </c>
      <c r="H8" s="44">
        <f>Santé!T48</f>
        <v>6</v>
      </c>
      <c r="I8" s="132">
        <f>Santé!H2</f>
        <v>157</v>
      </c>
      <c r="J8" s="132">
        <f>Santé!I2</f>
        <v>99</v>
      </c>
      <c r="K8" s="70">
        <f>Santé!K2</f>
        <v>58</v>
      </c>
      <c r="L8" s="80">
        <f>Santé!J2</f>
        <v>49</v>
      </c>
      <c r="M8" s="69">
        <f>Santé!O2</f>
        <v>41444</v>
      </c>
      <c r="N8" s="72">
        <f>Santé!N53</f>
        <v>2595.15625</v>
      </c>
      <c r="O8" s="132">
        <f>Santé!M51</f>
        <v>83045</v>
      </c>
    </row>
    <row r="9" spans="3:15" ht="16.5" thickBot="1">
      <c r="C9" s="160" t="s">
        <v>220</v>
      </c>
      <c r="D9" s="161" t="s">
        <v>25</v>
      </c>
      <c r="E9" s="161">
        <f>Kinizsi!U51</f>
        <v>32</v>
      </c>
      <c r="F9" s="161">
        <f>Kinizsi!S48</f>
        <v>23</v>
      </c>
      <c r="G9" s="161">
        <f>Kinizsi!T48</f>
        <v>1</v>
      </c>
      <c r="H9" s="161">
        <f>Kinizsi!U48</f>
        <v>8</v>
      </c>
      <c r="I9" s="444">
        <f>Kinizsi!I2</f>
        <v>158</v>
      </c>
      <c r="J9" s="444">
        <f>Kinizsi!J2</f>
        <v>98</v>
      </c>
      <c r="K9" s="445">
        <f>Kinizsi!L2</f>
        <v>60</v>
      </c>
      <c r="L9" s="446">
        <f>Kinizsi!K2</f>
        <v>47</v>
      </c>
      <c r="M9" s="162">
        <f>Kinizsi!O2</f>
        <v>41616</v>
      </c>
      <c r="N9" s="166">
        <f>Kinizsi!O53</f>
        <v>2607.59375</v>
      </c>
      <c r="O9" s="163">
        <f>Kinizsi!N51</f>
        <v>83443</v>
      </c>
    </row>
    <row r="10" spans="3:15" ht="15.75">
      <c r="C10" s="159" t="s">
        <v>221</v>
      </c>
      <c r="D10" s="43" t="s">
        <v>18</v>
      </c>
      <c r="E10" s="43">
        <f>'Anro ker'!S52</f>
        <v>32</v>
      </c>
      <c r="F10" s="43">
        <f>'Anro ker'!Q49</f>
        <v>22</v>
      </c>
      <c r="G10" s="43">
        <f>'Anro ker'!R49</f>
        <v>0</v>
      </c>
      <c r="H10" s="43">
        <f>'Anro ker'!S49</f>
        <v>10</v>
      </c>
      <c r="I10" s="134">
        <f>'Anro ker'!G2</f>
        <v>145</v>
      </c>
      <c r="J10" s="134">
        <f>'Anro ker'!H2</f>
        <v>111</v>
      </c>
      <c r="K10" s="156">
        <f>'Anro ker'!J2</f>
        <v>34</v>
      </c>
      <c r="L10" s="157">
        <f>'Anro ker'!I2</f>
        <v>44</v>
      </c>
      <c r="M10" s="81">
        <f>'Anro ker'!M2</f>
        <v>41363</v>
      </c>
      <c r="N10" s="79">
        <f>'Anro ker'!M54</f>
        <v>2605.84375</v>
      </c>
      <c r="O10" s="134">
        <f>'Anro ker'!L52</f>
        <v>83387</v>
      </c>
    </row>
    <row r="11" spans="3:15" ht="15.75">
      <c r="C11" s="131" t="s">
        <v>222</v>
      </c>
      <c r="D11" s="424" t="s">
        <v>241</v>
      </c>
      <c r="E11" s="44">
        <f>'Vörös Ördögök'!U51</f>
        <v>32</v>
      </c>
      <c r="F11" s="44">
        <f>'Vörös Ördögök'!S48</f>
        <v>19</v>
      </c>
      <c r="G11" s="44">
        <f>'Vörös Ördögök'!T48</f>
        <v>1</v>
      </c>
      <c r="H11" s="44">
        <f>'Vörös Ördögök'!U48</f>
        <v>12</v>
      </c>
      <c r="I11" s="69">
        <f>'Vörös Ördögök'!L2</f>
        <v>147</v>
      </c>
      <c r="J11" s="69">
        <f>'Vörös Ördögök'!M2</f>
        <v>109</v>
      </c>
      <c r="K11" s="427">
        <f>'Vörös Ördögök'!O2</f>
        <v>38</v>
      </c>
      <c r="L11" s="428">
        <f>'Vörös Ördögök'!N2</f>
        <v>39</v>
      </c>
      <c r="M11" s="69">
        <f>'Vörös Ördögök'!R2</f>
        <v>41393</v>
      </c>
      <c r="N11" s="429">
        <f>'Vörös Ördögök'!O53</f>
        <v>2595.6875</v>
      </c>
      <c r="O11" s="69">
        <f>'Vörös Ördögök'!N51</f>
        <v>83062</v>
      </c>
    </row>
    <row r="12" spans="3:15" ht="15.75">
      <c r="C12" s="131" t="s">
        <v>223</v>
      </c>
      <c r="D12" s="44" t="s">
        <v>19</v>
      </c>
      <c r="E12" s="44">
        <f>Szefo!T51</f>
        <v>32</v>
      </c>
      <c r="F12" s="44">
        <f>Szefo!R48</f>
        <v>16</v>
      </c>
      <c r="G12" s="44">
        <f>Szefo!S48</f>
        <v>3</v>
      </c>
      <c r="H12" s="44">
        <f>Szefo!T48</f>
        <v>13</v>
      </c>
      <c r="I12" s="132">
        <f>Szefo!I2</f>
        <v>133</v>
      </c>
      <c r="J12" s="132">
        <f>Szefo!J2</f>
        <v>123</v>
      </c>
      <c r="K12" s="70">
        <f>Szefo!L2</f>
        <v>10</v>
      </c>
      <c r="L12" s="80">
        <f>Szefo!K2</f>
        <v>35</v>
      </c>
      <c r="M12" s="69">
        <f>Szefo!P2</f>
        <v>40883</v>
      </c>
      <c r="N12" s="429">
        <f>Szefo!N53</f>
        <v>2551.09375</v>
      </c>
      <c r="O12" s="132">
        <f>Szefo!M51</f>
        <v>81635</v>
      </c>
    </row>
    <row r="13" spans="3:15" ht="16.5" thickBot="1">
      <c r="C13" s="160" t="s">
        <v>224</v>
      </c>
      <c r="D13" s="161" t="s">
        <v>196</v>
      </c>
      <c r="E13" s="161">
        <f>Euroteke!T51</f>
        <v>32</v>
      </c>
      <c r="F13" s="161">
        <f>Euroteke!R48</f>
        <v>16</v>
      </c>
      <c r="G13" s="161">
        <f>Euroteke!S48</f>
        <v>2</v>
      </c>
      <c r="H13" s="161">
        <f>Euroteke!T48</f>
        <v>14</v>
      </c>
      <c r="I13" s="163">
        <f>Euroteke!J2</f>
        <v>124</v>
      </c>
      <c r="J13" s="163">
        <f>Euroteke!L2</f>
        <v>132</v>
      </c>
      <c r="K13" s="164">
        <f>Euroteke!N2</f>
        <v>-8</v>
      </c>
      <c r="L13" s="165">
        <f>Euroteke!M2</f>
        <v>34</v>
      </c>
      <c r="M13" s="162">
        <f>Euroteke!Q2</f>
        <v>40106</v>
      </c>
      <c r="N13" s="166">
        <f>Euroteke!N53</f>
        <v>2438.8125</v>
      </c>
      <c r="O13" s="163">
        <f>Euroteke!M51</f>
        <v>78042</v>
      </c>
    </row>
    <row r="14" spans="3:15" ht="15.75">
      <c r="C14" s="159" t="s">
        <v>225</v>
      </c>
      <c r="D14" s="43" t="s">
        <v>195</v>
      </c>
      <c r="E14" s="43">
        <f>GLB!S52</f>
        <v>32</v>
      </c>
      <c r="F14" s="43">
        <f>GLB!Q49</f>
        <v>16</v>
      </c>
      <c r="G14" s="43">
        <f>GLB!R49</f>
        <v>1</v>
      </c>
      <c r="H14" s="43">
        <f>GLB!S49</f>
        <v>15</v>
      </c>
      <c r="I14" s="134">
        <f>GLB!I2</f>
        <v>132</v>
      </c>
      <c r="J14" s="134">
        <f>GLB!J2</f>
        <v>124</v>
      </c>
      <c r="K14" s="156">
        <f>GLB!L2</f>
        <v>8</v>
      </c>
      <c r="L14" s="157">
        <f>GLB!K2</f>
        <v>33</v>
      </c>
      <c r="M14" s="81">
        <f>GLB!O2</f>
        <v>40556</v>
      </c>
      <c r="N14" s="79">
        <f>GLB!M54</f>
        <v>2559.34375</v>
      </c>
      <c r="O14" s="134">
        <f>GLB!L52</f>
        <v>81899</v>
      </c>
    </row>
    <row r="15" spans="3:15" ht="15.75">
      <c r="C15" s="131">
        <v>10</v>
      </c>
      <c r="D15" s="44" t="s">
        <v>15</v>
      </c>
      <c r="E15" s="44">
        <f>Tápé!T52</f>
        <v>32</v>
      </c>
      <c r="F15" s="44">
        <f>Tápé!R49</f>
        <v>16</v>
      </c>
      <c r="G15" s="44">
        <f>Tápé!S49</f>
        <v>1</v>
      </c>
      <c r="H15" s="44">
        <f>Tápé!T49</f>
        <v>15</v>
      </c>
      <c r="I15" s="132">
        <f>Tápé!I2</f>
        <v>130</v>
      </c>
      <c r="J15" s="132">
        <f>Tápé!J2</f>
        <v>126</v>
      </c>
      <c r="K15" s="70">
        <f>Tápé!L2</f>
        <v>4</v>
      </c>
      <c r="L15" s="80">
        <f>Tápé!K2</f>
        <v>33</v>
      </c>
      <c r="M15" s="69">
        <f>Tápé!N2</f>
        <v>40972</v>
      </c>
      <c r="N15" s="72">
        <f>Tápé!N54</f>
        <v>2560.28125</v>
      </c>
      <c r="O15" s="132">
        <f>Tápé!M52</f>
        <v>81929</v>
      </c>
    </row>
    <row r="16" spans="3:15" ht="15.75">
      <c r="C16" s="131">
        <v>11</v>
      </c>
      <c r="D16" s="44" t="s">
        <v>192</v>
      </c>
      <c r="E16" s="424">
        <f>'Temesvári Hús'!U52</f>
        <v>32</v>
      </c>
      <c r="F16" s="44">
        <f>'Temesvári Hús'!S49</f>
        <v>15</v>
      </c>
      <c r="G16" s="44">
        <f>'Temesvári Hús'!T49</f>
        <v>1</v>
      </c>
      <c r="H16" s="44">
        <f>'Temesvári Hús'!U49</f>
        <v>16</v>
      </c>
      <c r="I16" s="132">
        <f>'Temesvári Hús'!K2</f>
        <v>128</v>
      </c>
      <c r="J16" s="132">
        <f>'Temesvári Hús'!L2</f>
        <v>128</v>
      </c>
      <c r="K16" s="70">
        <f>'Temesvári Hús'!N2</f>
        <v>0</v>
      </c>
      <c r="L16" s="80">
        <f>'Temesvári Hús'!M2</f>
        <v>31</v>
      </c>
      <c r="M16" s="69">
        <f>'Temesvári Hús'!R2</f>
        <v>40538</v>
      </c>
      <c r="N16" s="72">
        <f>'Temesvári Hús'!O54</f>
        <v>2557.9375</v>
      </c>
      <c r="O16" s="132">
        <f>'Temesvári Hús'!N52</f>
        <v>81854</v>
      </c>
    </row>
    <row r="17" spans="3:15" ht="16.5" thickBot="1">
      <c r="C17" s="160">
        <v>12</v>
      </c>
      <c r="D17" s="161" t="s">
        <v>242</v>
      </c>
      <c r="E17" s="161">
        <f>'Amazonok és Titánok'!W51</f>
        <v>32</v>
      </c>
      <c r="F17" s="161">
        <f>'Amazonok és Titánok'!T48</f>
        <v>14</v>
      </c>
      <c r="G17" s="161">
        <f>'Amazonok és Titánok'!U48</f>
        <v>2</v>
      </c>
      <c r="H17" s="161">
        <f>'Amazonok és Titánok'!V48</f>
        <v>16</v>
      </c>
      <c r="I17" s="163">
        <f>'Amazonok és Titánok'!J2</f>
        <v>125</v>
      </c>
      <c r="J17" s="163">
        <f>'Amazonok és Titánok'!K2</f>
        <v>131</v>
      </c>
      <c r="K17" s="164">
        <f>'Amazonok és Titánok'!M2</f>
        <v>-6</v>
      </c>
      <c r="L17" s="165">
        <f>'Amazonok és Titánok'!L2</f>
        <v>30</v>
      </c>
      <c r="M17" s="162">
        <f>'Amazonok és Titánok'!P2</f>
        <v>40534</v>
      </c>
      <c r="N17" s="166">
        <f>'Amazonok és Titánok'!Q53</f>
        <v>2545.65625</v>
      </c>
      <c r="O17" s="163">
        <f>'Amazonok és Titánok'!P51</f>
        <v>81461</v>
      </c>
    </row>
    <row r="18" spans="3:15" ht="15.75">
      <c r="C18" s="159">
        <v>13</v>
      </c>
      <c r="D18" s="43" t="s">
        <v>20</v>
      </c>
      <c r="E18" s="43">
        <f>'Dél Akku'!T51</f>
        <v>32</v>
      </c>
      <c r="F18" s="43">
        <f>'Dél Akku'!R48</f>
        <v>11</v>
      </c>
      <c r="G18" s="43">
        <f>'Dél Akku'!S48</f>
        <v>1</v>
      </c>
      <c r="H18" s="43">
        <f>'Dél Akku'!T48</f>
        <v>20</v>
      </c>
      <c r="I18" s="134">
        <f>'Dél Akku'!H2</f>
        <v>115</v>
      </c>
      <c r="J18" s="134">
        <f>'Dél Akku'!I2</f>
        <v>141</v>
      </c>
      <c r="K18" s="156">
        <f>'Dél Akku'!K2</f>
        <v>-26</v>
      </c>
      <c r="L18" s="157">
        <f>'Dél Akku'!J2</f>
        <v>23</v>
      </c>
      <c r="M18" s="81">
        <f>'Dél Akku'!N2</f>
        <v>40255</v>
      </c>
      <c r="N18" s="79">
        <f>'Dél Akku'!N53</f>
        <v>2526.84375</v>
      </c>
      <c r="O18" s="134">
        <f>'Dél Akku'!M51</f>
        <v>80859</v>
      </c>
    </row>
    <row r="19" spans="3:15" ht="15.75">
      <c r="C19" s="131">
        <v>14</v>
      </c>
      <c r="D19" s="44" t="s">
        <v>238</v>
      </c>
      <c r="E19" s="69">
        <f>Gumigyár!U51</f>
        <v>32</v>
      </c>
      <c r="F19" s="69">
        <f>Gumigyár!S48</f>
        <v>6</v>
      </c>
      <c r="G19" s="69">
        <f>Gumigyár!T48</f>
        <v>2</v>
      </c>
      <c r="H19" s="69">
        <f>Gumigyár!U48</f>
        <v>24</v>
      </c>
      <c r="I19" s="132">
        <f>Gumigyár!J2</f>
        <v>98</v>
      </c>
      <c r="J19" s="132">
        <f>Gumigyár!K2</f>
        <v>158</v>
      </c>
      <c r="K19" s="70">
        <f>Gumigyár!M2</f>
        <v>-60</v>
      </c>
      <c r="L19" s="80">
        <f>Gumigyár!L2</f>
        <v>14</v>
      </c>
      <c r="M19" s="69">
        <f>Gumigyár!O2</f>
        <v>39325</v>
      </c>
      <c r="N19" s="72">
        <f>Gumigyár!O53</f>
        <v>2465.6875</v>
      </c>
      <c r="O19" s="132">
        <f>Gumigyár!N51</f>
        <v>78902</v>
      </c>
    </row>
    <row r="20" spans="3:15" ht="15.75">
      <c r="C20" s="131" t="s">
        <v>226</v>
      </c>
      <c r="D20" s="44" t="s">
        <v>21</v>
      </c>
      <c r="E20" s="44">
        <f>Postás!V52</f>
        <v>32</v>
      </c>
      <c r="F20" s="44">
        <f>Postás!T49</f>
        <v>4</v>
      </c>
      <c r="G20" s="44">
        <f>Postás!U49</f>
        <v>2</v>
      </c>
      <c r="H20" s="44">
        <f>Postás!V49</f>
        <v>26</v>
      </c>
      <c r="I20" s="132">
        <f>Postás!J2</f>
        <v>84</v>
      </c>
      <c r="J20" s="132">
        <f>Postás!K2</f>
        <v>172</v>
      </c>
      <c r="K20" s="70">
        <f>Postás!M2</f>
        <v>-88</v>
      </c>
      <c r="L20" s="80">
        <f>Postás!L2</f>
        <v>10</v>
      </c>
      <c r="M20" s="69">
        <f>Postás!P2</f>
        <v>36488</v>
      </c>
      <c r="N20" s="72">
        <f>Postás!P54</f>
        <v>2446.625</v>
      </c>
      <c r="O20" s="132">
        <f>Postás!O52</f>
        <v>78292</v>
      </c>
    </row>
    <row r="21" spans="3:15" ht="15.75">
      <c r="C21" s="131" t="s">
        <v>227</v>
      </c>
      <c r="D21" s="44" t="s">
        <v>197</v>
      </c>
      <c r="E21" s="44">
        <f>'Fa-Team'!T52</f>
        <v>32</v>
      </c>
      <c r="F21" s="44">
        <f>'Fa-Team'!R49</f>
        <v>4</v>
      </c>
      <c r="G21" s="44">
        <f>'Fa-Team'!S49</f>
        <v>1</v>
      </c>
      <c r="H21" s="44">
        <f>'Fa-Team'!T49</f>
        <v>27</v>
      </c>
      <c r="I21" s="132">
        <f>'Fa-Team'!I2</f>
        <v>76</v>
      </c>
      <c r="J21" s="132">
        <f>'Fa-Team'!J2</f>
        <v>180</v>
      </c>
      <c r="K21" s="70">
        <f>'Fa-Team'!L2</f>
        <v>-104</v>
      </c>
      <c r="L21" s="80">
        <f>'Fa-Team'!K2</f>
        <v>9</v>
      </c>
      <c r="M21" s="69">
        <f>'Fa-Team'!N2</f>
        <v>38768</v>
      </c>
      <c r="N21" s="72">
        <f>'Fa-Team'!N54</f>
        <v>2430.53125</v>
      </c>
      <c r="O21" s="132">
        <f>'Fa-Team'!M52</f>
        <v>77777</v>
      </c>
    </row>
    <row r="22" spans="3:15" ht="16.5" thickBot="1">
      <c r="C22" s="133" t="s">
        <v>260</v>
      </c>
      <c r="D22" s="75" t="s">
        <v>272</v>
      </c>
      <c r="E22" s="75">
        <f>Partiscum!U52</f>
        <v>32</v>
      </c>
      <c r="F22" s="75">
        <f>Partiscum!S49</f>
        <v>4</v>
      </c>
      <c r="G22" s="75">
        <f>Partiscum!T49</f>
        <v>0</v>
      </c>
      <c r="H22" s="75">
        <f>Partiscum!U49</f>
        <v>28</v>
      </c>
      <c r="I22" s="135">
        <f>Partiscum!I2</f>
        <v>80</v>
      </c>
      <c r="J22" s="135">
        <f>Partiscum!J2</f>
        <v>176</v>
      </c>
      <c r="K22" s="136">
        <f>Partiscum!M2</f>
        <v>-96</v>
      </c>
      <c r="L22" s="137">
        <f>Partiscum!K2</f>
        <v>8</v>
      </c>
      <c r="M22" s="82">
        <f>Partiscum!O2</f>
        <v>38512</v>
      </c>
      <c r="N22" s="260">
        <f>Partiscum!O54</f>
        <v>2451.1875</v>
      </c>
      <c r="O22" s="135">
        <f>Partiscum!N52</f>
        <v>78438</v>
      </c>
    </row>
    <row r="25" ht="12.75">
      <c r="D25" t="s">
        <v>217</v>
      </c>
    </row>
    <row r="26" ht="12.75">
      <c r="D26" t="s">
        <v>218</v>
      </c>
    </row>
  </sheetData>
  <sheetProtection/>
  <mergeCells count="2">
    <mergeCell ref="C3:N3"/>
    <mergeCell ref="I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T53"/>
  <sheetViews>
    <sheetView zoomScale="90" zoomScaleNormal="90" zoomScalePageLayoutView="0" workbookViewId="0" topLeftCell="A28">
      <selection activeCell="K47" sqref="K47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4" width="9.25390625" style="1" bestFit="1" customWidth="1"/>
    <col min="5" max="5" width="10.25390625" style="1" customWidth="1"/>
    <col min="6" max="8" width="9.25390625" style="1" bestFit="1" customWidth="1"/>
    <col min="9" max="9" width="11.00390625" style="1" customWidth="1"/>
    <col min="10" max="10" width="9.75390625" style="1" customWidth="1"/>
    <col min="11" max="11" width="11.375" style="1" customWidth="1"/>
    <col min="12" max="12" width="10.75390625" style="1" customWidth="1"/>
    <col min="13" max="13" width="15.875" style="1" bestFit="1" customWidth="1"/>
    <col min="14" max="14" width="16.00390625" style="1" bestFit="1" customWidth="1"/>
    <col min="15" max="15" width="11.625" style="1" customWidth="1"/>
    <col min="16" max="16" width="13.375" style="1" customWidth="1"/>
    <col min="17" max="17" width="12.125" style="1" customWidth="1"/>
    <col min="19" max="20" width="12.00390625" style="0" customWidth="1"/>
  </cols>
  <sheetData>
    <row r="1" spans="1:16" ht="15.75">
      <c r="A1" s="48" t="s">
        <v>133</v>
      </c>
      <c r="B1" s="49"/>
      <c r="C1" s="48" t="s">
        <v>138</v>
      </c>
      <c r="D1" s="51"/>
      <c r="E1" s="49" t="s">
        <v>131</v>
      </c>
      <c r="F1" s="459" t="s">
        <v>132</v>
      </c>
      <c r="G1" s="459"/>
      <c r="I1" s="455" t="s">
        <v>143</v>
      </c>
      <c r="J1" s="455"/>
      <c r="K1" s="11" t="s">
        <v>144</v>
      </c>
      <c r="L1" s="455" t="s">
        <v>118</v>
      </c>
      <c r="M1" s="455"/>
      <c r="O1" s="122" t="s">
        <v>120</v>
      </c>
      <c r="P1" s="18">
        <f>M26/T26</f>
        <v>2542.25</v>
      </c>
    </row>
    <row r="2" spans="9:16" ht="15.75">
      <c r="I2" s="1">
        <f>N26+N48</f>
        <v>133</v>
      </c>
      <c r="J2" s="1">
        <f>O26+O48</f>
        <v>123</v>
      </c>
      <c r="K2" s="1">
        <f>Q26+Q48</f>
        <v>35</v>
      </c>
      <c r="L2" s="460">
        <f>I2-J2</f>
        <v>10</v>
      </c>
      <c r="M2" s="460"/>
      <c r="O2" s="122" t="s">
        <v>216</v>
      </c>
      <c r="P2" s="6">
        <f>M7+M9+M13+M15+M17+M19+M21+M31+M33+M35+M37+M39+M40+M42+M44+M46</f>
        <v>40883</v>
      </c>
    </row>
    <row r="4" spans="3:20" ht="15.75">
      <c r="C4" s="461" t="s">
        <v>26</v>
      </c>
      <c r="D4" s="461"/>
      <c r="E4" s="461"/>
      <c r="F4" s="461"/>
      <c r="G4" s="461"/>
      <c r="H4" s="461"/>
      <c r="I4" s="461"/>
      <c r="J4" s="461"/>
      <c r="K4" s="461"/>
      <c r="L4" s="461"/>
      <c r="N4" s="461" t="s">
        <v>27</v>
      </c>
      <c r="O4" s="461"/>
      <c r="R4" s="2"/>
      <c r="S4" s="2"/>
      <c r="T4" s="2"/>
    </row>
    <row r="5" spans="2:20" ht="34.5" customHeight="1" thickBot="1">
      <c r="B5" s="3" t="s">
        <v>24</v>
      </c>
      <c r="C5" s="120" t="s">
        <v>61</v>
      </c>
      <c r="D5" s="120" t="s">
        <v>60</v>
      </c>
      <c r="E5" s="120" t="s">
        <v>207</v>
      </c>
      <c r="F5" s="120" t="s">
        <v>59</v>
      </c>
      <c r="G5" s="120" t="s">
        <v>58</v>
      </c>
      <c r="H5" s="120" t="s">
        <v>57</v>
      </c>
      <c r="I5" s="120" t="s">
        <v>106</v>
      </c>
      <c r="J5" s="120" t="s">
        <v>115</v>
      </c>
      <c r="K5" s="120" t="s">
        <v>261</v>
      </c>
      <c r="L5" s="120" t="s">
        <v>289</v>
      </c>
      <c r="M5" s="3" t="s">
        <v>29</v>
      </c>
      <c r="N5" s="3" t="s">
        <v>19</v>
      </c>
      <c r="O5" s="3" t="s">
        <v>28</v>
      </c>
      <c r="P5" s="3" t="s">
        <v>30</v>
      </c>
      <c r="Q5" s="10" t="s">
        <v>108</v>
      </c>
      <c r="R5" s="2" t="s">
        <v>174</v>
      </c>
      <c r="S5" s="2" t="s">
        <v>175</v>
      </c>
      <c r="T5" s="2" t="s">
        <v>176</v>
      </c>
    </row>
    <row r="6" spans="1:20" s="85" customFormat="1" ht="15.75">
      <c r="A6" s="19" t="s">
        <v>0</v>
      </c>
      <c r="B6" s="102" t="s">
        <v>25</v>
      </c>
      <c r="C6" s="34">
        <v>421</v>
      </c>
      <c r="D6" s="34">
        <v>422</v>
      </c>
      <c r="E6" s="250">
        <v>441</v>
      </c>
      <c r="F6" s="250">
        <v>460</v>
      </c>
      <c r="G6" s="34"/>
      <c r="H6" s="34"/>
      <c r="I6" s="34">
        <v>385</v>
      </c>
      <c r="J6" s="34"/>
      <c r="K6" s="34">
        <v>416</v>
      </c>
      <c r="L6" s="30"/>
      <c r="M6" s="109">
        <f>SUM(C6:L6)</f>
        <v>2545</v>
      </c>
      <c r="N6" s="83">
        <v>2</v>
      </c>
      <c r="O6" s="83">
        <v>6</v>
      </c>
      <c r="P6" s="109">
        <v>-26</v>
      </c>
      <c r="Q6" s="83">
        <v>0</v>
      </c>
      <c r="R6" s="84"/>
      <c r="S6" s="84"/>
      <c r="T6" s="84">
        <v>1</v>
      </c>
    </row>
    <row r="7" spans="1:20" s="91" customFormat="1" ht="15.75">
      <c r="A7" s="193" t="s">
        <v>1</v>
      </c>
      <c r="B7" s="47" t="s">
        <v>18</v>
      </c>
      <c r="C7" s="202">
        <v>445</v>
      </c>
      <c r="D7" s="35">
        <v>421</v>
      </c>
      <c r="E7" s="202">
        <v>441</v>
      </c>
      <c r="F7" s="35"/>
      <c r="G7" s="35">
        <v>415</v>
      </c>
      <c r="H7" s="35"/>
      <c r="I7" s="35"/>
      <c r="J7" s="35">
        <v>423</v>
      </c>
      <c r="K7" s="202">
        <v>433</v>
      </c>
      <c r="L7" s="33"/>
      <c r="M7" s="86">
        <f aca="true" t="shared" si="0" ref="M7:M17">SUM(C7:L7)</f>
        <v>2578</v>
      </c>
      <c r="N7" s="87">
        <v>3</v>
      </c>
      <c r="O7" s="87">
        <v>5</v>
      </c>
      <c r="P7" s="86">
        <f>M7-2610</f>
        <v>-32</v>
      </c>
      <c r="Q7" s="87">
        <v>0</v>
      </c>
      <c r="R7" s="90"/>
      <c r="S7" s="90"/>
      <c r="T7" s="90">
        <v>1</v>
      </c>
    </row>
    <row r="8" spans="1:20" s="23" customFormat="1" ht="15.75">
      <c r="A8" s="103" t="s">
        <v>2</v>
      </c>
      <c r="B8" s="108" t="s">
        <v>17</v>
      </c>
      <c r="C8" s="300">
        <v>424</v>
      </c>
      <c r="D8" s="104">
        <v>365</v>
      </c>
      <c r="E8" s="300">
        <v>424</v>
      </c>
      <c r="F8" s="104">
        <v>413</v>
      </c>
      <c r="G8" s="104">
        <v>398</v>
      </c>
      <c r="H8" s="104"/>
      <c r="I8" s="104"/>
      <c r="J8" s="104">
        <v>403</v>
      </c>
      <c r="K8" s="104"/>
      <c r="L8" s="112"/>
      <c r="M8" s="21">
        <f t="shared" si="0"/>
        <v>2427</v>
      </c>
      <c r="N8" s="19">
        <v>2</v>
      </c>
      <c r="O8" s="19">
        <v>6</v>
      </c>
      <c r="P8" s="19">
        <v>-122</v>
      </c>
      <c r="Q8" s="19">
        <v>0</v>
      </c>
      <c r="R8" s="22"/>
      <c r="S8" s="22"/>
      <c r="T8" s="22">
        <v>1</v>
      </c>
    </row>
    <row r="9" spans="1:20" s="91" customFormat="1" ht="15.75">
      <c r="A9" s="193" t="s">
        <v>3</v>
      </c>
      <c r="B9" s="47" t="s">
        <v>193</v>
      </c>
      <c r="C9" s="252">
        <v>432</v>
      </c>
      <c r="D9" s="35">
        <v>371</v>
      </c>
      <c r="E9" s="202">
        <v>460</v>
      </c>
      <c r="F9" s="202">
        <v>438</v>
      </c>
      <c r="G9" s="35">
        <v>383</v>
      </c>
      <c r="H9" s="35"/>
      <c r="I9" s="35"/>
      <c r="J9" s="35"/>
      <c r="K9" s="35"/>
      <c r="L9" s="326">
        <v>394</v>
      </c>
      <c r="M9" s="86">
        <f t="shared" si="0"/>
        <v>2478</v>
      </c>
      <c r="N9" s="87">
        <v>6</v>
      </c>
      <c r="O9" s="87">
        <v>2</v>
      </c>
      <c r="P9" s="86">
        <v>128</v>
      </c>
      <c r="Q9" s="87">
        <v>2</v>
      </c>
      <c r="R9" s="90">
        <v>1</v>
      </c>
      <c r="S9" s="90"/>
      <c r="T9" s="90"/>
    </row>
    <row r="10" spans="1:20" s="106" customFormat="1" ht="15.75">
      <c r="A10" s="83" t="s">
        <v>4</v>
      </c>
      <c r="B10" s="96" t="s">
        <v>241</v>
      </c>
      <c r="C10" s="201">
        <v>454</v>
      </c>
      <c r="D10" s="95">
        <v>427</v>
      </c>
      <c r="E10" s="201">
        <v>448</v>
      </c>
      <c r="F10" s="95">
        <v>431</v>
      </c>
      <c r="G10" s="95">
        <v>405</v>
      </c>
      <c r="H10" s="95"/>
      <c r="I10" s="95"/>
      <c r="J10" s="95"/>
      <c r="K10" s="201">
        <v>442</v>
      </c>
      <c r="L10" s="111"/>
      <c r="M10" s="113">
        <f t="shared" si="0"/>
        <v>2607</v>
      </c>
      <c r="N10" s="103">
        <v>3</v>
      </c>
      <c r="O10" s="103">
        <v>5</v>
      </c>
      <c r="P10" s="113">
        <v>-36</v>
      </c>
      <c r="Q10" s="103">
        <v>0</v>
      </c>
      <c r="R10" s="114"/>
      <c r="S10" s="114"/>
      <c r="T10" s="114">
        <v>1</v>
      </c>
    </row>
    <row r="11" spans="1:20" s="148" customFormat="1" ht="15.75">
      <c r="A11" s="145" t="s">
        <v>5</v>
      </c>
      <c r="B11" s="149" t="s">
        <v>234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4"/>
      <c r="M11" s="188">
        <f>SUM(C11:L11)</f>
        <v>0</v>
      </c>
      <c r="N11" s="189"/>
      <c r="O11" s="189"/>
      <c r="P11" s="189"/>
      <c r="Q11" s="189"/>
      <c r="R11" s="191"/>
      <c r="S11" s="191"/>
      <c r="T11" s="191"/>
    </row>
    <row r="12" spans="1:20" s="106" customFormat="1" ht="15.75">
      <c r="A12" s="19" t="s">
        <v>6</v>
      </c>
      <c r="B12" s="102" t="s">
        <v>242</v>
      </c>
      <c r="C12" s="250">
        <v>435</v>
      </c>
      <c r="D12" s="201">
        <v>470</v>
      </c>
      <c r="E12" s="201">
        <v>472</v>
      </c>
      <c r="F12" s="95"/>
      <c r="G12" s="95"/>
      <c r="H12" s="95"/>
      <c r="I12" s="201">
        <v>455</v>
      </c>
      <c r="J12" s="95">
        <v>398</v>
      </c>
      <c r="K12" s="95">
        <v>398</v>
      </c>
      <c r="L12" s="111"/>
      <c r="M12" s="113">
        <f t="shared" si="0"/>
        <v>2628</v>
      </c>
      <c r="N12" s="103">
        <v>6</v>
      </c>
      <c r="O12" s="103">
        <v>2</v>
      </c>
      <c r="P12" s="113">
        <f>M12-2491</f>
        <v>137</v>
      </c>
      <c r="Q12" s="103">
        <v>2</v>
      </c>
      <c r="R12" s="114">
        <v>1</v>
      </c>
      <c r="S12" s="114"/>
      <c r="T12" s="114"/>
    </row>
    <row r="13" spans="1:20" s="27" customFormat="1" ht="15.75">
      <c r="A13" s="87" t="s">
        <v>7</v>
      </c>
      <c r="B13" s="47" t="s">
        <v>194</v>
      </c>
      <c r="C13" s="93">
        <v>395</v>
      </c>
      <c r="D13" s="93">
        <v>435</v>
      </c>
      <c r="E13" s="203">
        <v>456</v>
      </c>
      <c r="F13" s="93"/>
      <c r="G13" s="203">
        <v>457</v>
      </c>
      <c r="H13" s="93"/>
      <c r="I13" s="93">
        <v>391</v>
      </c>
      <c r="J13" s="93">
        <v>411</v>
      </c>
      <c r="K13" s="93"/>
      <c r="L13" s="118"/>
      <c r="M13" s="192">
        <f t="shared" si="0"/>
        <v>2545</v>
      </c>
      <c r="N13" s="193">
        <v>2</v>
      </c>
      <c r="O13" s="193">
        <v>6</v>
      </c>
      <c r="P13" s="192">
        <v>-87</v>
      </c>
      <c r="Q13" s="193">
        <v>0</v>
      </c>
      <c r="R13" s="26"/>
      <c r="S13" s="26"/>
      <c r="T13" s="26">
        <v>1</v>
      </c>
    </row>
    <row r="14" spans="1:20" s="85" customFormat="1" ht="15.75">
      <c r="A14" s="19" t="s">
        <v>8</v>
      </c>
      <c r="B14" s="36" t="s">
        <v>238</v>
      </c>
      <c r="C14" s="250">
        <v>415</v>
      </c>
      <c r="D14" s="250">
        <v>431</v>
      </c>
      <c r="E14" s="250">
        <v>420</v>
      </c>
      <c r="F14" s="250">
        <v>427</v>
      </c>
      <c r="G14" s="34"/>
      <c r="H14" s="34"/>
      <c r="I14" s="34"/>
      <c r="J14" s="34">
        <v>387</v>
      </c>
      <c r="K14" s="34">
        <v>396</v>
      </c>
      <c r="L14" s="30"/>
      <c r="M14" s="109">
        <f t="shared" si="0"/>
        <v>2476</v>
      </c>
      <c r="N14" s="83">
        <v>4</v>
      </c>
      <c r="O14" s="83">
        <v>4</v>
      </c>
      <c r="P14" s="83">
        <v>-12</v>
      </c>
      <c r="Q14" s="83">
        <v>1</v>
      </c>
      <c r="R14" s="84"/>
      <c r="S14" s="84">
        <v>1</v>
      </c>
      <c r="T14" s="84"/>
    </row>
    <row r="15" spans="1:20" s="27" customFormat="1" ht="15.75">
      <c r="A15" s="87" t="s">
        <v>9</v>
      </c>
      <c r="B15" s="97" t="s">
        <v>15</v>
      </c>
      <c r="C15" s="203">
        <v>442</v>
      </c>
      <c r="D15" s="93">
        <v>431</v>
      </c>
      <c r="E15" s="203">
        <v>431</v>
      </c>
      <c r="F15" s="203">
        <v>433</v>
      </c>
      <c r="G15" s="93">
        <v>428</v>
      </c>
      <c r="H15" s="93"/>
      <c r="I15" s="93">
        <v>413</v>
      </c>
      <c r="J15" s="93"/>
      <c r="K15" s="93"/>
      <c r="L15" s="118"/>
      <c r="M15" s="192">
        <f t="shared" si="0"/>
        <v>2578</v>
      </c>
      <c r="N15" s="193">
        <v>5</v>
      </c>
      <c r="O15" s="193">
        <v>3</v>
      </c>
      <c r="P15" s="192">
        <v>4</v>
      </c>
      <c r="Q15" s="193">
        <v>2</v>
      </c>
      <c r="R15" s="26">
        <v>1</v>
      </c>
      <c r="S15" s="26"/>
      <c r="T15" s="26"/>
    </row>
    <row r="16" spans="1:20" s="85" customFormat="1" ht="15.75">
      <c r="A16" s="19" t="s">
        <v>10</v>
      </c>
      <c r="B16" s="34" t="s">
        <v>21</v>
      </c>
      <c r="C16" s="102">
        <v>415</v>
      </c>
      <c r="D16" s="250">
        <v>420</v>
      </c>
      <c r="E16" s="250">
        <v>420</v>
      </c>
      <c r="F16" s="250">
        <v>444</v>
      </c>
      <c r="G16" s="34">
        <v>376</v>
      </c>
      <c r="H16" s="34"/>
      <c r="I16" s="250">
        <v>430</v>
      </c>
      <c r="J16" s="34"/>
      <c r="K16" s="34"/>
      <c r="L16" s="30"/>
      <c r="M16" s="109">
        <f t="shared" si="0"/>
        <v>2505</v>
      </c>
      <c r="N16" s="83">
        <v>6</v>
      </c>
      <c r="O16" s="83">
        <v>2</v>
      </c>
      <c r="P16" s="109">
        <v>101</v>
      </c>
      <c r="Q16" s="83">
        <v>2</v>
      </c>
      <c r="R16" s="84">
        <v>1</v>
      </c>
      <c r="S16" s="84"/>
      <c r="T16" s="84"/>
    </row>
    <row r="17" spans="1:20" s="27" customFormat="1" ht="15.75">
      <c r="A17" s="87" t="s">
        <v>11</v>
      </c>
      <c r="B17" s="93" t="s">
        <v>20</v>
      </c>
      <c r="C17" s="203">
        <v>439</v>
      </c>
      <c r="D17" s="93">
        <v>413</v>
      </c>
      <c r="E17" s="203">
        <v>434</v>
      </c>
      <c r="F17" s="203">
        <v>480</v>
      </c>
      <c r="G17" s="93"/>
      <c r="H17" s="93"/>
      <c r="I17" s="93">
        <v>383</v>
      </c>
      <c r="J17" s="203">
        <v>429</v>
      </c>
      <c r="K17" s="93"/>
      <c r="L17" s="118"/>
      <c r="M17" s="192">
        <f t="shared" si="0"/>
        <v>2578</v>
      </c>
      <c r="N17" s="193">
        <v>6</v>
      </c>
      <c r="O17" s="193">
        <v>2</v>
      </c>
      <c r="P17" s="192">
        <v>111</v>
      </c>
      <c r="Q17" s="193">
        <v>2</v>
      </c>
      <c r="R17" s="26">
        <v>1</v>
      </c>
      <c r="S17" s="26"/>
      <c r="T17" s="26"/>
    </row>
    <row r="18" spans="1:20" s="102" customFormat="1" ht="15.75">
      <c r="A18" s="102" t="s">
        <v>12</v>
      </c>
      <c r="B18" s="34" t="s">
        <v>22</v>
      </c>
      <c r="C18" s="34">
        <v>407</v>
      </c>
      <c r="D18" s="250">
        <v>435</v>
      </c>
      <c r="E18" s="250">
        <v>464</v>
      </c>
      <c r="G18" s="102">
        <v>399</v>
      </c>
      <c r="J18" s="102">
        <v>429</v>
      </c>
      <c r="K18" s="102">
        <v>434</v>
      </c>
      <c r="M18" s="168">
        <f>SUM(C18:L18)</f>
        <v>2568</v>
      </c>
      <c r="N18" s="102">
        <v>2</v>
      </c>
      <c r="O18" s="102">
        <v>6</v>
      </c>
      <c r="P18" s="102">
        <v>-48</v>
      </c>
      <c r="Q18" s="102">
        <v>0</v>
      </c>
      <c r="T18" s="102">
        <v>1</v>
      </c>
    </row>
    <row r="19" spans="1:18" s="47" customFormat="1" ht="15.75">
      <c r="A19" s="47" t="s">
        <v>13</v>
      </c>
      <c r="B19" s="35" t="s">
        <v>195</v>
      </c>
      <c r="C19" s="47">
        <v>380</v>
      </c>
      <c r="D19" s="202">
        <v>458</v>
      </c>
      <c r="E19" s="35">
        <v>397</v>
      </c>
      <c r="F19" s="202">
        <v>478</v>
      </c>
      <c r="G19" s="35"/>
      <c r="H19" s="35"/>
      <c r="I19" s="35"/>
      <c r="J19" s="202">
        <v>438</v>
      </c>
      <c r="K19" s="35">
        <v>400</v>
      </c>
      <c r="L19" s="33"/>
      <c r="M19" s="245">
        <f>SUM(C19:L19)</f>
        <v>2551</v>
      </c>
      <c r="N19" s="47">
        <v>5</v>
      </c>
      <c r="O19" s="47">
        <v>3</v>
      </c>
      <c r="P19" s="47">
        <v>45</v>
      </c>
      <c r="Q19" s="47">
        <v>2</v>
      </c>
      <c r="R19" s="47">
        <v>1</v>
      </c>
    </row>
    <row r="20" spans="1:18" s="102" customFormat="1" ht="15.75">
      <c r="A20" s="102" t="s">
        <v>14</v>
      </c>
      <c r="B20" s="34" t="s">
        <v>196</v>
      </c>
      <c r="C20" s="250">
        <v>460</v>
      </c>
      <c r="D20" s="34">
        <v>389</v>
      </c>
      <c r="E20" s="250">
        <v>416</v>
      </c>
      <c r="F20" s="250">
        <v>441</v>
      </c>
      <c r="G20" s="34">
        <v>394</v>
      </c>
      <c r="H20" s="34"/>
      <c r="I20" s="34"/>
      <c r="J20" s="34"/>
      <c r="K20" s="34">
        <v>385</v>
      </c>
      <c r="L20" s="30"/>
      <c r="M20" s="168">
        <f>SUM(C20:L20)</f>
        <v>2485</v>
      </c>
      <c r="N20" s="102">
        <v>5</v>
      </c>
      <c r="O20" s="102">
        <v>3</v>
      </c>
      <c r="P20" s="102">
        <v>69</v>
      </c>
      <c r="Q20" s="102">
        <v>2</v>
      </c>
      <c r="R20" s="102">
        <v>1</v>
      </c>
    </row>
    <row r="21" spans="1:20" s="47" customFormat="1" ht="15.75">
      <c r="A21" s="47" t="s">
        <v>239</v>
      </c>
      <c r="B21" s="35" t="s">
        <v>192</v>
      </c>
      <c r="C21" s="202">
        <v>456</v>
      </c>
      <c r="D21" s="35">
        <v>415</v>
      </c>
      <c r="E21" s="202">
        <v>465</v>
      </c>
      <c r="F21" s="202">
        <v>427</v>
      </c>
      <c r="G21" s="35">
        <v>426</v>
      </c>
      <c r="H21" s="35"/>
      <c r="I21" s="35"/>
      <c r="J21" s="35">
        <v>409</v>
      </c>
      <c r="K21" s="35"/>
      <c r="L21" s="33"/>
      <c r="M21" s="245">
        <f>SUM(C21:L21)</f>
        <v>2598</v>
      </c>
      <c r="N21" s="47">
        <v>2</v>
      </c>
      <c r="O21" s="47">
        <v>6</v>
      </c>
      <c r="P21" s="47">
        <v>-58</v>
      </c>
      <c r="Q21" s="47">
        <v>0</v>
      </c>
      <c r="T21" s="47">
        <v>1</v>
      </c>
    </row>
    <row r="22" spans="1:20" s="102" customFormat="1" ht="16.5" thickBot="1">
      <c r="A22" s="102" t="s">
        <v>240</v>
      </c>
      <c r="B22" s="34" t="s">
        <v>272</v>
      </c>
      <c r="C22" s="354">
        <v>435</v>
      </c>
      <c r="D22" s="150">
        <v>391</v>
      </c>
      <c r="E22" s="354">
        <v>436</v>
      </c>
      <c r="F22" s="354">
        <v>452</v>
      </c>
      <c r="G22" s="150">
        <v>388</v>
      </c>
      <c r="H22" s="150"/>
      <c r="I22" s="150"/>
      <c r="J22" s="150"/>
      <c r="K22" s="354">
        <v>427</v>
      </c>
      <c r="L22" s="169"/>
      <c r="M22" s="170">
        <f>SUM(C22:L22)</f>
        <v>2529</v>
      </c>
      <c r="N22" s="171">
        <v>6</v>
      </c>
      <c r="O22" s="171">
        <v>2</v>
      </c>
      <c r="P22" s="170">
        <v>247</v>
      </c>
      <c r="Q22" s="171">
        <v>2</v>
      </c>
      <c r="R22" s="171">
        <v>1</v>
      </c>
      <c r="S22" s="171"/>
      <c r="T22" s="171"/>
    </row>
    <row r="23" spans="3:20" ht="16.5" thickTop="1">
      <c r="C23" s="6">
        <f aca="true" t="shared" si="1" ref="C23:L23">SUM(C6:C22)</f>
        <v>6855</v>
      </c>
      <c r="D23" s="6">
        <f t="shared" si="1"/>
        <v>6694</v>
      </c>
      <c r="E23" s="6">
        <f t="shared" si="1"/>
        <v>7025</v>
      </c>
      <c r="F23" s="6">
        <f t="shared" si="1"/>
        <v>5324</v>
      </c>
      <c r="G23" s="6">
        <f t="shared" si="1"/>
        <v>4469</v>
      </c>
      <c r="H23" s="6">
        <f t="shared" si="1"/>
        <v>0</v>
      </c>
      <c r="I23" s="6">
        <f t="shared" si="1"/>
        <v>2457</v>
      </c>
      <c r="J23" s="6">
        <f t="shared" si="1"/>
        <v>3727</v>
      </c>
      <c r="K23" s="6">
        <f t="shared" si="1"/>
        <v>3731</v>
      </c>
      <c r="L23" s="6">
        <f t="shared" si="1"/>
        <v>394</v>
      </c>
      <c r="R23" s="2">
        <f>SUM(R6:R22)</f>
        <v>8</v>
      </c>
      <c r="S23" s="2">
        <f>SUM(S6:S22)</f>
        <v>1</v>
      </c>
      <c r="T23" s="2">
        <f>SUM(T6:T22)</f>
        <v>7</v>
      </c>
    </row>
    <row r="24" spans="2:12" ht="15.75">
      <c r="B24" s="1" t="s">
        <v>211</v>
      </c>
      <c r="C24" s="6">
        <f>COUNT(C6:C22)</f>
        <v>16</v>
      </c>
      <c r="D24" s="6">
        <f aca="true" t="shared" si="2" ref="D24:L24">COUNT(D6:D22)</f>
        <v>16</v>
      </c>
      <c r="E24" s="6">
        <f t="shared" si="2"/>
        <v>16</v>
      </c>
      <c r="F24" s="6">
        <f t="shared" si="2"/>
        <v>12</v>
      </c>
      <c r="G24" s="6">
        <f t="shared" si="2"/>
        <v>11</v>
      </c>
      <c r="H24" s="6">
        <f t="shared" si="2"/>
        <v>0</v>
      </c>
      <c r="I24" s="6">
        <f t="shared" si="2"/>
        <v>6</v>
      </c>
      <c r="J24" s="6">
        <f t="shared" si="2"/>
        <v>9</v>
      </c>
      <c r="K24" s="6">
        <f t="shared" si="2"/>
        <v>9</v>
      </c>
      <c r="L24" s="6">
        <f t="shared" si="2"/>
        <v>1</v>
      </c>
    </row>
    <row r="25" spans="2:20" ht="31.5">
      <c r="B25" s="11" t="s">
        <v>119</v>
      </c>
      <c r="C25" s="16">
        <f>AVERAGE(C6:C22)</f>
        <v>428.4375</v>
      </c>
      <c r="D25" s="16">
        <f aca="true" t="shared" si="3" ref="D25:L25">AVERAGE(D6:D22)</f>
        <v>418.375</v>
      </c>
      <c r="E25" s="16">
        <f t="shared" si="3"/>
        <v>439.0625</v>
      </c>
      <c r="F25" s="16">
        <f t="shared" si="3"/>
        <v>443.6666666666667</v>
      </c>
      <c r="G25" s="16">
        <f t="shared" si="3"/>
        <v>406.27272727272725</v>
      </c>
      <c r="H25" s="16"/>
      <c r="I25" s="16">
        <f t="shared" si="3"/>
        <v>409.5</v>
      </c>
      <c r="J25" s="16">
        <f t="shared" si="3"/>
        <v>414.1111111111111</v>
      </c>
      <c r="K25" s="16">
        <f t="shared" si="3"/>
        <v>414.55555555555554</v>
      </c>
      <c r="L25" s="16">
        <f t="shared" si="3"/>
        <v>394</v>
      </c>
      <c r="M25" s="3" t="s">
        <v>29</v>
      </c>
      <c r="N25" s="461" t="s">
        <v>109</v>
      </c>
      <c r="O25" s="461"/>
      <c r="P25" s="3" t="s">
        <v>30</v>
      </c>
      <c r="Q25" s="10" t="s">
        <v>110</v>
      </c>
      <c r="S25" s="63" t="s">
        <v>118</v>
      </c>
      <c r="T25" s="63" t="s">
        <v>209</v>
      </c>
    </row>
    <row r="26" spans="13:20" ht="15.75">
      <c r="M26" s="6">
        <f>SUM(M6:M22)</f>
        <v>40676</v>
      </c>
      <c r="N26" s="1">
        <f>SUM(N6:N22)</f>
        <v>65</v>
      </c>
      <c r="O26" s="1">
        <f>SUM(O6:O22)</f>
        <v>63</v>
      </c>
      <c r="P26" s="1">
        <f>SUM(P6:P22)</f>
        <v>421</v>
      </c>
      <c r="Q26" s="1">
        <f>SUM(Q6:Q22)</f>
        <v>17</v>
      </c>
      <c r="S26" s="2">
        <f>N26-O26</f>
        <v>2</v>
      </c>
      <c r="T26" s="2">
        <f>SUM(R23:T23)</f>
        <v>16</v>
      </c>
    </row>
    <row r="27" spans="3:10" ht="15.75">
      <c r="C27" s="463" t="s">
        <v>37</v>
      </c>
      <c r="D27" s="463"/>
      <c r="F27" s="458" t="s">
        <v>124</v>
      </c>
      <c r="G27" s="458"/>
      <c r="I27" s="462" t="s">
        <v>125</v>
      </c>
      <c r="J27" s="462"/>
    </row>
    <row r="28" spans="1:20" ht="16.5" thickBot="1">
      <c r="A28" s="62"/>
      <c r="B28" s="62"/>
      <c r="C28" s="62"/>
      <c r="D28" s="62"/>
      <c r="E28" s="62"/>
      <c r="F28" s="127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123"/>
      <c r="S28" s="123"/>
      <c r="T28" s="123"/>
    </row>
    <row r="30" spans="2:20" ht="34.5" customHeight="1" thickBot="1">
      <c r="B30" s="3" t="s">
        <v>24</v>
      </c>
      <c r="C30" s="120" t="s">
        <v>61</v>
      </c>
      <c r="D30" s="120" t="s">
        <v>60</v>
      </c>
      <c r="E30" s="120" t="s">
        <v>207</v>
      </c>
      <c r="F30" s="120" t="s">
        <v>59</v>
      </c>
      <c r="G30" s="120" t="s">
        <v>58</v>
      </c>
      <c r="H30" s="120" t="s">
        <v>57</v>
      </c>
      <c r="I30" s="120" t="s">
        <v>106</v>
      </c>
      <c r="J30" s="120" t="s">
        <v>115</v>
      </c>
      <c r="K30" s="120" t="s">
        <v>261</v>
      </c>
      <c r="L30" s="120" t="s">
        <v>289</v>
      </c>
      <c r="M30" s="3" t="s">
        <v>29</v>
      </c>
      <c r="N30" s="3" t="s">
        <v>19</v>
      </c>
      <c r="O30" s="3" t="s">
        <v>28</v>
      </c>
      <c r="P30" s="3" t="s">
        <v>30</v>
      </c>
      <c r="Q30" s="10" t="s">
        <v>108</v>
      </c>
      <c r="R30" s="2" t="s">
        <v>174</v>
      </c>
      <c r="S30" s="2" t="s">
        <v>175</v>
      </c>
      <c r="T30" s="2" t="s">
        <v>176</v>
      </c>
    </row>
    <row r="31" spans="1:18" s="231" customFormat="1" ht="15.75">
      <c r="A31" s="25" t="s">
        <v>145</v>
      </c>
      <c r="B31" s="39" t="s">
        <v>238</v>
      </c>
      <c r="C31" s="202">
        <v>427</v>
      </c>
      <c r="D31" s="35">
        <v>389</v>
      </c>
      <c r="E31" s="202">
        <v>432</v>
      </c>
      <c r="F31" s="202">
        <v>428</v>
      </c>
      <c r="G31" s="35"/>
      <c r="H31" s="35"/>
      <c r="I31" s="35">
        <v>400</v>
      </c>
      <c r="J31" s="35"/>
      <c r="K31" s="35">
        <v>405</v>
      </c>
      <c r="L31" s="35"/>
      <c r="M31" s="200">
        <f>SUM(C31:L31)</f>
        <v>2481</v>
      </c>
      <c r="N31" s="193">
        <v>5</v>
      </c>
      <c r="O31" s="193">
        <v>3</v>
      </c>
      <c r="P31" s="193">
        <v>74</v>
      </c>
      <c r="Q31" s="193">
        <v>2</v>
      </c>
      <c r="R31" s="231">
        <v>1</v>
      </c>
    </row>
    <row r="32" spans="1:18" s="23" customFormat="1" ht="15.75">
      <c r="A32" s="204" t="s">
        <v>146</v>
      </c>
      <c r="B32" s="206" t="s">
        <v>15</v>
      </c>
      <c r="C32" s="250">
        <v>437</v>
      </c>
      <c r="D32" s="250">
        <v>440</v>
      </c>
      <c r="E32" s="250">
        <v>440</v>
      </c>
      <c r="F32" s="34">
        <v>411</v>
      </c>
      <c r="G32" s="34"/>
      <c r="H32" s="34"/>
      <c r="I32" s="34"/>
      <c r="J32" s="34">
        <v>416</v>
      </c>
      <c r="K32" s="34">
        <v>414</v>
      </c>
      <c r="L32" s="34"/>
      <c r="M32" s="58">
        <f aca="true" t="shared" si="4" ref="M32:M47">SUM(C32:L32)</f>
        <v>2558</v>
      </c>
      <c r="N32" s="19">
        <v>5</v>
      </c>
      <c r="O32" s="19">
        <v>3</v>
      </c>
      <c r="P32" s="19">
        <v>38</v>
      </c>
      <c r="Q32" s="19">
        <v>2</v>
      </c>
      <c r="R32" s="23">
        <v>1</v>
      </c>
    </row>
    <row r="33" spans="1:18" s="231" customFormat="1" ht="15.75">
      <c r="A33" s="25" t="s">
        <v>147</v>
      </c>
      <c r="B33" s="35" t="s">
        <v>21</v>
      </c>
      <c r="C33" s="202">
        <v>454</v>
      </c>
      <c r="D33" s="202">
        <v>427</v>
      </c>
      <c r="E33" s="35">
        <v>414</v>
      </c>
      <c r="F33" s="202">
        <v>429</v>
      </c>
      <c r="G33" s="202">
        <v>416</v>
      </c>
      <c r="H33" s="35"/>
      <c r="I33" s="35"/>
      <c r="J33" s="35"/>
      <c r="K33" s="202">
        <v>424</v>
      </c>
      <c r="L33" s="35"/>
      <c r="M33" s="200">
        <f t="shared" si="4"/>
        <v>2564</v>
      </c>
      <c r="N33" s="193">
        <v>7</v>
      </c>
      <c r="O33" s="193">
        <v>1</v>
      </c>
      <c r="P33" s="193">
        <v>126</v>
      </c>
      <c r="Q33" s="193">
        <v>2</v>
      </c>
      <c r="R33" s="231">
        <v>1</v>
      </c>
    </row>
    <row r="34" spans="1:19" s="106" customFormat="1" ht="15.75">
      <c r="A34" s="19" t="s">
        <v>148</v>
      </c>
      <c r="B34" s="34" t="s">
        <v>20</v>
      </c>
      <c r="C34" s="102">
        <v>412</v>
      </c>
      <c r="D34" s="34">
        <v>405</v>
      </c>
      <c r="E34" s="250">
        <v>417</v>
      </c>
      <c r="F34" s="250">
        <v>454</v>
      </c>
      <c r="G34" s="34"/>
      <c r="H34" s="34"/>
      <c r="I34" s="34"/>
      <c r="J34" s="250">
        <v>414</v>
      </c>
      <c r="K34" s="250">
        <v>426</v>
      </c>
      <c r="L34" s="34"/>
      <c r="M34" s="105">
        <f t="shared" si="4"/>
        <v>2528</v>
      </c>
      <c r="N34" s="103">
        <v>4</v>
      </c>
      <c r="O34" s="103">
        <v>4</v>
      </c>
      <c r="P34" s="103">
        <v>7</v>
      </c>
      <c r="Q34" s="103">
        <v>1</v>
      </c>
      <c r="S34" s="106">
        <v>1</v>
      </c>
    </row>
    <row r="35" spans="1:20" s="231" customFormat="1" ht="15.75">
      <c r="A35" s="25" t="s">
        <v>149</v>
      </c>
      <c r="B35" s="35" t="s">
        <v>22</v>
      </c>
      <c r="C35" s="35">
        <v>428</v>
      </c>
      <c r="D35" s="202">
        <v>453</v>
      </c>
      <c r="E35" s="202">
        <v>438</v>
      </c>
      <c r="F35" s="202">
        <v>492</v>
      </c>
      <c r="G35" s="35"/>
      <c r="H35" s="35"/>
      <c r="I35" s="35"/>
      <c r="J35" s="35">
        <v>395</v>
      </c>
      <c r="K35" s="35">
        <v>407</v>
      </c>
      <c r="L35" s="35"/>
      <c r="M35" s="200">
        <f t="shared" si="4"/>
        <v>2613</v>
      </c>
      <c r="N35" s="25">
        <v>3</v>
      </c>
      <c r="O35" s="193">
        <v>5</v>
      </c>
      <c r="P35" s="193">
        <v>-21</v>
      </c>
      <c r="Q35" s="193">
        <v>0</v>
      </c>
      <c r="T35" s="231">
        <v>1</v>
      </c>
    </row>
    <row r="36" spans="1:20" s="211" customFormat="1" ht="15.75">
      <c r="A36" s="83" t="s">
        <v>150</v>
      </c>
      <c r="B36" s="95" t="s">
        <v>195</v>
      </c>
      <c r="C36" s="250">
        <v>418</v>
      </c>
      <c r="D36" s="250">
        <v>422</v>
      </c>
      <c r="E36" s="34">
        <v>417</v>
      </c>
      <c r="F36" s="250">
        <v>460</v>
      </c>
      <c r="G36" s="34"/>
      <c r="H36" s="34"/>
      <c r="I36" s="34"/>
      <c r="J36" s="34">
        <v>401</v>
      </c>
      <c r="K36" s="34">
        <v>414</v>
      </c>
      <c r="L36" s="34"/>
      <c r="M36" s="366">
        <f t="shared" si="4"/>
        <v>2532</v>
      </c>
      <c r="N36" s="204">
        <v>3</v>
      </c>
      <c r="O36" s="204">
        <v>5</v>
      </c>
      <c r="P36" s="204">
        <v>-13</v>
      </c>
      <c r="Q36" s="204">
        <v>0</v>
      </c>
      <c r="T36" s="211">
        <v>1</v>
      </c>
    </row>
    <row r="37" spans="1:20" s="231" customFormat="1" ht="15.75">
      <c r="A37" s="25" t="s">
        <v>151</v>
      </c>
      <c r="B37" s="35" t="s">
        <v>196</v>
      </c>
      <c r="C37" s="202">
        <v>407</v>
      </c>
      <c r="D37" s="35">
        <v>375</v>
      </c>
      <c r="E37" s="35">
        <v>382</v>
      </c>
      <c r="F37" s="202">
        <v>395</v>
      </c>
      <c r="G37" s="35">
        <v>356</v>
      </c>
      <c r="H37" s="35"/>
      <c r="I37" s="35"/>
      <c r="J37" s="202">
        <v>393</v>
      </c>
      <c r="K37" s="35"/>
      <c r="L37" s="35"/>
      <c r="M37" s="200">
        <f t="shared" si="4"/>
        <v>2308</v>
      </c>
      <c r="N37" s="193">
        <v>3</v>
      </c>
      <c r="O37" s="193">
        <v>5</v>
      </c>
      <c r="P37" s="193">
        <f>M37-2364</f>
        <v>-56</v>
      </c>
      <c r="Q37" s="193">
        <v>0</v>
      </c>
      <c r="T37" s="231">
        <v>1</v>
      </c>
    </row>
    <row r="38" spans="1:19" s="23" customFormat="1" ht="15.75">
      <c r="A38" s="204" t="s">
        <v>152</v>
      </c>
      <c r="B38" s="205" t="s">
        <v>192</v>
      </c>
      <c r="C38" s="250">
        <v>458</v>
      </c>
      <c r="D38" s="34">
        <v>402</v>
      </c>
      <c r="E38" s="34">
        <v>423</v>
      </c>
      <c r="F38" s="250">
        <v>434</v>
      </c>
      <c r="G38" s="34"/>
      <c r="H38" s="34"/>
      <c r="I38" s="34"/>
      <c r="J38" s="34">
        <v>412</v>
      </c>
      <c r="K38" s="34">
        <v>410</v>
      </c>
      <c r="L38" s="34"/>
      <c r="M38" s="58">
        <f t="shared" si="4"/>
        <v>2539</v>
      </c>
      <c r="N38" s="19">
        <v>4</v>
      </c>
      <c r="O38" s="19">
        <v>4</v>
      </c>
      <c r="P38" s="19">
        <f>39-27</f>
        <v>12</v>
      </c>
      <c r="Q38" s="19">
        <v>1</v>
      </c>
      <c r="S38" s="23">
        <v>1</v>
      </c>
    </row>
    <row r="39" spans="1:18" s="231" customFormat="1" ht="15.75">
      <c r="A39" s="25" t="s">
        <v>153</v>
      </c>
      <c r="B39" s="35" t="s">
        <v>272</v>
      </c>
      <c r="C39" s="202">
        <v>446</v>
      </c>
      <c r="D39" s="202">
        <v>426</v>
      </c>
      <c r="E39" s="202">
        <v>435</v>
      </c>
      <c r="F39" s="35"/>
      <c r="G39" s="202">
        <v>463</v>
      </c>
      <c r="H39" s="35"/>
      <c r="I39" s="35"/>
      <c r="J39" s="35">
        <v>421</v>
      </c>
      <c r="K39" s="202">
        <v>424</v>
      </c>
      <c r="L39" s="35"/>
      <c r="M39" s="200">
        <f t="shared" si="4"/>
        <v>2615</v>
      </c>
      <c r="N39" s="193">
        <v>7</v>
      </c>
      <c r="O39" s="193">
        <v>1</v>
      </c>
      <c r="P39" s="193">
        <v>138</v>
      </c>
      <c r="Q39" s="193">
        <v>2</v>
      </c>
      <c r="R39" s="231">
        <v>1</v>
      </c>
    </row>
    <row r="40" spans="1:20" s="231" customFormat="1" ht="15.75">
      <c r="A40" s="25" t="s">
        <v>154</v>
      </c>
      <c r="B40" s="47" t="s">
        <v>25</v>
      </c>
      <c r="C40" s="202">
        <v>466</v>
      </c>
      <c r="D40" s="202">
        <v>439</v>
      </c>
      <c r="E40" s="202">
        <v>443</v>
      </c>
      <c r="F40" s="35"/>
      <c r="G40" s="35">
        <v>399</v>
      </c>
      <c r="H40" s="35"/>
      <c r="I40" s="35"/>
      <c r="J40" s="35">
        <v>425</v>
      </c>
      <c r="K40" s="35">
        <v>439</v>
      </c>
      <c r="L40" s="35"/>
      <c r="M40" s="200">
        <f t="shared" si="4"/>
        <v>2611</v>
      </c>
      <c r="N40" s="193">
        <v>3</v>
      </c>
      <c r="O40" s="193">
        <v>5</v>
      </c>
      <c r="P40" s="193">
        <v>-7</v>
      </c>
      <c r="Q40" s="193">
        <v>0</v>
      </c>
      <c r="T40" s="231">
        <v>1</v>
      </c>
    </row>
    <row r="41" spans="1:18" s="23" customFormat="1" ht="15.75">
      <c r="A41" s="204" t="s">
        <v>155</v>
      </c>
      <c r="B41" s="206" t="s">
        <v>18</v>
      </c>
      <c r="C41" s="250">
        <v>454</v>
      </c>
      <c r="D41" s="250">
        <v>446</v>
      </c>
      <c r="E41" s="34">
        <v>406</v>
      </c>
      <c r="F41" s="34">
        <v>445</v>
      </c>
      <c r="G41" s="34"/>
      <c r="H41" s="34"/>
      <c r="I41" s="34"/>
      <c r="J41" s="34">
        <v>436</v>
      </c>
      <c r="K41" s="250">
        <v>459</v>
      </c>
      <c r="L41" s="34"/>
      <c r="M41" s="58">
        <f t="shared" si="4"/>
        <v>2646</v>
      </c>
      <c r="N41" s="19">
        <v>5</v>
      </c>
      <c r="O41" s="19">
        <v>3</v>
      </c>
      <c r="P41" s="19">
        <v>6</v>
      </c>
      <c r="Q41" s="19">
        <v>2</v>
      </c>
      <c r="R41" s="23">
        <v>1</v>
      </c>
    </row>
    <row r="42" spans="1:18" s="231" customFormat="1" ht="15.75">
      <c r="A42" s="25" t="s">
        <v>156</v>
      </c>
      <c r="B42" s="47" t="s">
        <v>17</v>
      </c>
      <c r="C42" s="202">
        <v>433</v>
      </c>
      <c r="D42" s="202">
        <v>474</v>
      </c>
      <c r="E42" s="202">
        <v>462</v>
      </c>
      <c r="F42" s="35">
        <v>432</v>
      </c>
      <c r="G42" s="35"/>
      <c r="H42" s="35"/>
      <c r="I42" s="35"/>
      <c r="J42" s="35">
        <v>406</v>
      </c>
      <c r="K42" s="35">
        <v>406</v>
      </c>
      <c r="L42" s="35"/>
      <c r="M42" s="200">
        <f t="shared" si="4"/>
        <v>2613</v>
      </c>
      <c r="N42" s="193">
        <v>5</v>
      </c>
      <c r="O42" s="193">
        <v>3</v>
      </c>
      <c r="P42" s="193">
        <v>19</v>
      </c>
      <c r="Q42" s="193">
        <v>2</v>
      </c>
      <c r="R42" s="231">
        <v>1</v>
      </c>
    </row>
    <row r="43" spans="1:18" s="106" customFormat="1" ht="15.75">
      <c r="A43" s="19" t="s">
        <v>157</v>
      </c>
      <c r="B43" s="102" t="s">
        <v>193</v>
      </c>
      <c r="C43" s="250">
        <v>445</v>
      </c>
      <c r="D43" s="34">
        <v>417</v>
      </c>
      <c r="E43" s="250">
        <v>420</v>
      </c>
      <c r="F43" s="250">
        <v>426</v>
      </c>
      <c r="G43" s="34">
        <v>416</v>
      </c>
      <c r="H43" s="34"/>
      <c r="I43" s="34"/>
      <c r="J43" s="34"/>
      <c r="K43" s="250">
        <v>429</v>
      </c>
      <c r="L43" s="34"/>
      <c r="M43" s="105">
        <f t="shared" si="4"/>
        <v>2553</v>
      </c>
      <c r="N43" s="103">
        <v>6</v>
      </c>
      <c r="O43" s="103">
        <v>2</v>
      </c>
      <c r="P43" s="103">
        <v>98</v>
      </c>
      <c r="Q43" s="103">
        <v>2</v>
      </c>
      <c r="R43" s="106">
        <v>1</v>
      </c>
    </row>
    <row r="44" spans="1:20" s="231" customFormat="1" ht="15.75">
      <c r="A44" s="25" t="s">
        <v>243</v>
      </c>
      <c r="B44" s="47" t="s">
        <v>241</v>
      </c>
      <c r="C44" s="202">
        <v>478</v>
      </c>
      <c r="D44" s="35">
        <v>438</v>
      </c>
      <c r="E44" s="35">
        <v>413</v>
      </c>
      <c r="F44" s="35">
        <v>425</v>
      </c>
      <c r="G44" s="35">
        <v>420</v>
      </c>
      <c r="H44" s="35"/>
      <c r="I44" s="35"/>
      <c r="J44" s="35"/>
      <c r="K44" s="35">
        <v>425</v>
      </c>
      <c r="L44" s="35"/>
      <c r="M44" s="200">
        <f t="shared" si="4"/>
        <v>2599</v>
      </c>
      <c r="N44" s="193">
        <v>1</v>
      </c>
      <c r="O44" s="193">
        <v>7</v>
      </c>
      <c r="P44" s="193">
        <v>-71</v>
      </c>
      <c r="Q44" s="193">
        <v>0</v>
      </c>
      <c r="T44" s="231">
        <v>1</v>
      </c>
    </row>
    <row r="45" spans="1:17" s="148" customFormat="1" ht="15.75">
      <c r="A45" s="145" t="s">
        <v>244</v>
      </c>
      <c r="B45" s="149" t="s">
        <v>234</v>
      </c>
      <c r="C45" s="176"/>
      <c r="D45" s="173"/>
      <c r="E45" s="173"/>
      <c r="F45" s="173"/>
      <c r="G45" s="173"/>
      <c r="H45" s="173"/>
      <c r="I45" s="173"/>
      <c r="J45" s="173"/>
      <c r="K45" s="173"/>
      <c r="L45" s="174"/>
      <c r="M45" s="367" t="s">
        <v>234</v>
      </c>
      <c r="N45" s="368"/>
      <c r="O45" s="368"/>
      <c r="P45" s="368"/>
      <c r="Q45" s="368"/>
    </row>
    <row r="46" spans="1:20" s="231" customFormat="1" ht="15.75">
      <c r="A46" s="25" t="s">
        <v>266</v>
      </c>
      <c r="B46" s="47" t="s">
        <v>242</v>
      </c>
      <c r="C46" s="202">
        <v>440</v>
      </c>
      <c r="D46" s="35">
        <v>416</v>
      </c>
      <c r="E46" s="35">
        <v>424</v>
      </c>
      <c r="F46" s="434">
        <v>463</v>
      </c>
      <c r="G46" s="35">
        <v>430</v>
      </c>
      <c r="H46" s="35"/>
      <c r="I46" s="35"/>
      <c r="J46" s="35"/>
      <c r="K46" s="35">
        <v>400</v>
      </c>
      <c r="L46" s="35"/>
      <c r="M46" s="200">
        <f t="shared" si="4"/>
        <v>2573</v>
      </c>
      <c r="N46" s="193">
        <v>2</v>
      </c>
      <c r="O46" s="193">
        <v>6</v>
      </c>
      <c r="P46" s="193">
        <v>-34</v>
      </c>
      <c r="Q46" s="193">
        <v>0</v>
      </c>
      <c r="T46" s="231">
        <v>1</v>
      </c>
    </row>
    <row r="47" spans="1:20" s="23" customFormat="1" ht="16.5" thickBot="1">
      <c r="A47" s="204" t="s">
        <v>267</v>
      </c>
      <c r="B47" s="206" t="s">
        <v>194</v>
      </c>
      <c r="C47" s="171">
        <v>431</v>
      </c>
      <c r="D47" s="442">
        <v>453</v>
      </c>
      <c r="E47" s="150">
        <v>419</v>
      </c>
      <c r="F47" s="442">
        <v>478</v>
      </c>
      <c r="G47" s="150"/>
      <c r="H47" s="150"/>
      <c r="I47" s="150"/>
      <c r="J47" s="150">
        <v>398</v>
      </c>
      <c r="K47" s="442">
        <v>447</v>
      </c>
      <c r="L47" s="150"/>
      <c r="M47" s="58">
        <f t="shared" si="4"/>
        <v>2626</v>
      </c>
      <c r="N47" s="24">
        <v>5</v>
      </c>
      <c r="O47" s="24">
        <v>3</v>
      </c>
      <c r="P47" s="24">
        <v>47</v>
      </c>
      <c r="Q47" s="24">
        <v>2</v>
      </c>
      <c r="R47" s="107">
        <v>1</v>
      </c>
      <c r="S47" s="107"/>
      <c r="T47" s="107"/>
    </row>
    <row r="48" spans="3:20" ht="16.5" thickTop="1">
      <c r="C48" s="7">
        <f>SUM(C31:C47)</f>
        <v>7034</v>
      </c>
      <c r="D48" s="7">
        <f aca="true" t="shared" si="5" ref="D48:K48">SUM(D31:D47)</f>
        <v>6822</v>
      </c>
      <c r="E48" s="7">
        <f t="shared" si="5"/>
        <v>6785</v>
      </c>
      <c r="F48" s="7">
        <f t="shared" si="5"/>
        <v>6172</v>
      </c>
      <c r="G48" s="7">
        <f>SUM(G31:G37)+SUM(G39:G47)</f>
        <v>2900</v>
      </c>
      <c r="H48" s="7">
        <f>SUM(H31:H45)</f>
        <v>0</v>
      </c>
      <c r="I48" s="7">
        <f>SUM(I31:I47)</f>
        <v>400</v>
      </c>
      <c r="J48" s="7">
        <f t="shared" si="5"/>
        <v>4517</v>
      </c>
      <c r="K48" s="7">
        <f t="shared" si="5"/>
        <v>6329</v>
      </c>
      <c r="L48" s="7">
        <f>SUM(L31:L37)+SUM(L39:L47)</f>
        <v>0</v>
      </c>
      <c r="N48" s="1">
        <f>SUM(N31:N47)</f>
        <v>68</v>
      </c>
      <c r="O48" s="1">
        <f>SUM(O31:O47)</f>
        <v>60</v>
      </c>
      <c r="P48" s="1">
        <f>SUM(P31:P47)</f>
        <v>363</v>
      </c>
      <c r="Q48" s="1">
        <f>SUM(Q31:Q47)</f>
        <v>18</v>
      </c>
      <c r="R48" s="1">
        <f>SUM(R31:R47)+R23</f>
        <v>16</v>
      </c>
      <c r="S48" s="1">
        <f>SUM(S31:S47)+S23</f>
        <v>3</v>
      </c>
      <c r="T48" s="1">
        <f>SUM(T31:T47)+T23</f>
        <v>13</v>
      </c>
    </row>
    <row r="49" spans="2:12" ht="15.75">
      <c r="B49" s="57" t="s">
        <v>232</v>
      </c>
      <c r="C49" s="1">
        <f>COUNT(C31:C47)</f>
        <v>16</v>
      </c>
      <c r="D49" s="1">
        <f aca="true" t="shared" si="6" ref="D49:K49">COUNT(D31:D47)</f>
        <v>16</v>
      </c>
      <c r="E49" s="1">
        <f t="shared" si="6"/>
        <v>16</v>
      </c>
      <c r="F49" s="1">
        <f t="shared" si="6"/>
        <v>14</v>
      </c>
      <c r="G49" s="1">
        <f>COUNT(G31:G37)+COUNT(G39:G47)</f>
        <v>7</v>
      </c>
      <c r="H49" s="1">
        <f>COUNT(H31:H45)</f>
        <v>0</v>
      </c>
      <c r="I49" s="1">
        <f t="shared" si="6"/>
        <v>1</v>
      </c>
      <c r="J49" s="1">
        <f t="shared" si="6"/>
        <v>11</v>
      </c>
      <c r="K49" s="1">
        <f t="shared" si="6"/>
        <v>15</v>
      </c>
      <c r="L49" s="1">
        <f>COUNT(L31:L37)+COUNT(L39:L47)</f>
        <v>0</v>
      </c>
    </row>
    <row r="50" spans="2:20" ht="31.5">
      <c r="B50" s="11" t="s">
        <v>228</v>
      </c>
      <c r="C50" s="16">
        <f>C48/C49</f>
        <v>439.625</v>
      </c>
      <c r="D50" s="16">
        <f aca="true" t="shared" si="7" ref="D50:K50">D48/D49</f>
        <v>426.375</v>
      </c>
      <c r="E50" s="16">
        <f t="shared" si="7"/>
        <v>424.0625</v>
      </c>
      <c r="F50" s="16">
        <f t="shared" si="7"/>
        <v>440.85714285714283</v>
      </c>
      <c r="G50" s="16">
        <f t="shared" si="7"/>
        <v>414.2857142857143</v>
      </c>
      <c r="H50" s="16"/>
      <c r="I50" s="16">
        <f t="shared" si="7"/>
        <v>400</v>
      </c>
      <c r="J50" s="16">
        <f t="shared" si="7"/>
        <v>410.6363636363636</v>
      </c>
      <c r="K50" s="16">
        <f t="shared" si="7"/>
        <v>421.93333333333334</v>
      </c>
      <c r="L50" s="16"/>
      <c r="M50" s="3" t="s">
        <v>29</v>
      </c>
      <c r="N50" s="461" t="s">
        <v>109</v>
      </c>
      <c r="O50" s="461"/>
      <c r="P50" s="3" t="s">
        <v>30</v>
      </c>
      <c r="Q50" s="10" t="s">
        <v>110</v>
      </c>
      <c r="S50" s="63" t="s">
        <v>118</v>
      </c>
      <c r="T50" s="63" t="s">
        <v>209</v>
      </c>
    </row>
    <row r="51" spans="13:20" ht="15.75">
      <c r="M51" s="6">
        <f>SUM(M31:M47)+M26</f>
        <v>81635</v>
      </c>
      <c r="N51" s="6">
        <f>SUM(N31:N47)+N26</f>
        <v>133</v>
      </c>
      <c r="O51" s="6">
        <f>SUM(O31:O47)+O26</f>
        <v>123</v>
      </c>
      <c r="P51" s="6">
        <f>SUM(P31:P47)+P26</f>
        <v>784</v>
      </c>
      <c r="Q51" s="6">
        <f>SUM(Q31:Q47)+Q26</f>
        <v>35</v>
      </c>
      <c r="S51" s="2">
        <f>N51-O51</f>
        <v>10</v>
      </c>
      <c r="T51" s="2">
        <f>SUM(R48:T48)</f>
        <v>32</v>
      </c>
    </row>
    <row r="53" spans="13:14" ht="15.75">
      <c r="M53" s="1" t="s">
        <v>120</v>
      </c>
      <c r="N53" s="18">
        <f>M51/T51</f>
        <v>2551.09375</v>
      </c>
    </row>
  </sheetData>
  <sheetProtection/>
  <mergeCells count="11">
    <mergeCell ref="N25:O25"/>
    <mergeCell ref="F27:G27"/>
    <mergeCell ref="F1:G1"/>
    <mergeCell ref="I1:J1"/>
    <mergeCell ref="L1:M1"/>
    <mergeCell ref="L2:M2"/>
    <mergeCell ref="N50:O50"/>
    <mergeCell ref="I27:J27"/>
    <mergeCell ref="C4:L4"/>
    <mergeCell ref="N4:O4"/>
    <mergeCell ref="C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4"/>
  <sheetViews>
    <sheetView zoomScale="90" zoomScaleNormal="90" zoomScalePageLayoutView="0" workbookViewId="0" topLeftCell="B25">
      <selection activeCell="D48" sqref="D48"/>
    </sheetView>
  </sheetViews>
  <sheetFormatPr defaultColWidth="9.00390625" defaultRowHeight="12.75"/>
  <cols>
    <col min="1" max="1" width="12.375" style="1" customWidth="1"/>
    <col min="2" max="2" width="21.00390625" style="1" bestFit="1" customWidth="1"/>
    <col min="3" max="3" width="8.00390625" style="1" customWidth="1"/>
    <col min="4" max="4" width="8.25390625" style="1" customWidth="1"/>
    <col min="5" max="5" width="9.875" style="1" customWidth="1"/>
    <col min="6" max="9" width="9.125" style="1" customWidth="1"/>
    <col min="10" max="10" width="10.125" style="1" customWidth="1"/>
    <col min="11" max="11" width="11.625" style="1" customWidth="1"/>
    <col min="12" max="12" width="9.375" style="1" customWidth="1"/>
    <col min="13" max="13" width="18.00390625" style="1" customWidth="1"/>
    <col min="14" max="14" width="11.25390625" style="1" customWidth="1"/>
    <col min="15" max="15" width="10.375" style="1" customWidth="1"/>
    <col min="16" max="16" width="15.375" style="1" customWidth="1"/>
    <col min="17" max="17" width="11.875" style="1" customWidth="1"/>
    <col min="19" max="19" width="14.00390625" style="0" customWidth="1"/>
    <col min="20" max="20" width="11.00390625" style="0" customWidth="1"/>
  </cols>
  <sheetData>
    <row r="1" spans="1:14" ht="15.75">
      <c r="A1" s="48" t="s">
        <v>133</v>
      </c>
      <c r="B1" s="49"/>
      <c r="C1" s="49" t="s">
        <v>130</v>
      </c>
      <c r="D1" s="49"/>
      <c r="E1" s="49" t="s">
        <v>134</v>
      </c>
      <c r="F1" s="459" t="s">
        <v>132</v>
      </c>
      <c r="G1" s="459"/>
      <c r="I1" s="455" t="s">
        <v>143</v>
      </c>
      <c r="J1" s="455"/>
      <c r="K1" s="11" t="s">
        <v>144</v>
      </c>
      <c r="L1" s="11" t="s">
        <v>118</v>
      </c>
      <c r="M1" s="1" t="s">
        <v>120</v>
      </c>
      <c r="N1" s="18">
        <f>M26/T26</f>
        <v>2536.375</v>
      </c>
    </row>
    <row r="2" spans="9:14" ht="15.75">
      <c r="I2" s="1">
        <f>N26+N49</f>
        <v>130</v>
      </c>
      <c r="J2" s="1">
        <f>O26+O49</f>
        <v>126</v>
      </c>
      <c r="K2" s="1">
        <f>Q26+Q49</f>
        <v>33</v>
      </c>
      <c r="L2" s="1">
        <f>I2-J2</f>
        <v>4</v>
      </c>
      <c r="M2" s="1" t="s">
        <v>216</v>
      </c>
      <c r="N2" s="6">
        <f>M7+M8+M10+M12+M14+M16+M18+M33+M35+M37+M39+M40+M41+M44+M46+M48</f>
        <v>40972</v>
      </c>
    </row>
    <row r="4" spans="3:20" ht="15.75">
      <c r="C4" s="461" t="s">
        <v>26</v>
      </c>
      <c r="D4" s="461"/>
      <c r="E4" s="461"/>
      <c r="F4" s="461"/>
      <c r="G4" s="461"/>
      <c r="H4" s="461"/>
      <c r="I4" s="461"/>
      <c r="J4" s="461"/>
      <c r="K4" s="461"/>
      <c r="L4" s="461"/>
      <c r="N4" s="461" t="s">
        <v>27</v>
      </c>
      <c r="O4" s="461"/>
      <c r="R4" s="2"/>
      <c r="S4" s="2"/>
      <c r="T4" s="2"/>
    </row>
    <row r="5" spans="2:20" ht="36.75" customHeight="1" thickBot="1">
      <c r="B5" s="3" t="s">
        <v>24</v>
      </c>
      <c r="C5" s="8" t="s">
        <v>141</v>
      </c>
      <c r="D5" s="151" t="s">
        <v>183</v>
      </c>
      <c r="E5" s="8" t="s">
        <v>44</v>
      </c>
      <c r="F5" s="8" t="s">
        <v>45</v>
      </c>
      <c r="G5" s="8" t="s">
        <v>46</v>
      </c>
      <c r="H5" s="8" t="s">
        <v>47</v>
      </c>
      <c r="I5" s="8" t="s">
        <v>122</v>
      </c>
      <c r="J5" s="8" t="s">
        <v>111</v>
      </c>
      <c r="K5" s="8" t="s">
        <v>113</v>
      </c>
      <c r="L5" s="8"/>
      <c r="M5" s="5" t="s">
        <v>29</v>
      </c>
      <c r="N5" s="3" t="s">
        <v>15</v>
      </c>
      <c r="O5" s="3" t="s">
        <v>28</v>
      </c>
      <c r="P5" s="3" t="s">
        <v>30</v>
      </c>
      <c r="Q5" s="10" t="s">
        <v>108</v>
      </c>
      <c r="R5" s="2" t="s">
        <v>174</v>
      </c>
      <c r="S5" s="2" t="s">
        <v>175</v>
      </c>
      <c r="T5" s="2" t="s">
        <v>176</v>
      </c>
    </row>
    <row r="6" spans="1:20" s="106" customFormat="1" ht="15.75">
      <c r="A6" s="19" t="s">
        <v>0</v>
      </c>
      <c r="B6" s="36" t="s">
        <v>238</v>
      </c>
      <c r="C6" s="85"/>
      <c r="D6" s="95"/>
      <c r="E6" s="95">
        <v>400</v>
      </c>
      <c r="F6" s="201">
        <v>417</v>
      </c>
      <c r="G6" s="95"/>
      <c r="H6" s="201">
        <v>429</v>
      </c>
      <c r="I6" s="201">
        <v>412</v>
      </c>
      <c r="J6" s="95">
        <v>395</v>
      </c>
      <c r="K6" s="201">
        <v>427</v>
      </c>
      <c r="L6" s="95"/>
      <c r="M6" s="116">
        <f aca="true" t="shared" si="0" ref="M6:M19">SUM(C6:L6)</f>
        <v>2480</v>
      </c>
      <c r="N6" s="103">
        <v>6</v>
      </c>
      <c r="O6" s="103">
        <v>2</v>
      </c>
      <c r="P6" s="113">
        <f>M6-2377</f>
        <v>103</v>
      </c>
      <c r="Q6" s="103">
        <v>2</v>
      </c>
      <c r="R6" s="114">
        <v>1</v>
      </c>
      <c r="S6" s="114"/>
      <c r="T6" s="114"/>
    </row>
    <row r="7" spans="1:20" s="91" customFormat="1" ht="15.75">
      <c r="A7" s="87" t="s">
        <v>1</v>
      </c>
      <c r="B7" s="97" t="s">
        <v>25</v>
      </c>
      <c r="C7" s="27"/>
      <c r="D7" s="39">
        <v>417</v>
      </c>
      <c r="E7" s="39">
        <v>429</v>
      </c>
      <c r="F7" s="39">
        <v>407</v>
      </c>
      <c r="G7" s="35"/>
      <c r="H7" s="39"/>
      <c r="I7" s="252">
        <v>466</v>
      </c>
      <c r="J7" s="39">
        <v>410</v>
      </c>
      <c r="K7" s="252">
        <v>441</v>
      </c>
      <c r="L7" s="39"/>
      <c r="M7" s="115">
        <f t="shared" si="0"/>
        <v>2570</v>
      </c>
      <c r="N7" s="87">
        <v>2</v>
      </c>
      <c r="O7" s="87">
        <v>6</v>
      </c>
      <c r="P7" s="86">
        <v>-35</v>
      </c>
      <c r="Q7" s="87">
        <v>0</v>
      </c>
      <c r="R7" s="90"/>
      <c r="S7" s="90"/>
      <c r="T7" s="90">
        <v>1</v>
      </c>
    </row>
    <row r="8" spans="1:20" s="27" customFormat="1" ht="15.75">
      <c r="A8" s="193" t="s">
        <v>2</v>
      </c>
      <c r="B8" s="35" t="s">
        <v>21</v>
      </c>
      <c r="C8" s="91"/>
      <c r="D8" s="203">
        <v>421</v>
      </c>
      <c r="E8" s="93"/>
      <c r="F8" s="93">
        <v>418</v>
      </c>
      <c r="G8" s="93">
        <v>420</v>
      </c>
      <c r="H8" s="203">
        <v>434</v>
      </c>
      <c r="I8" s="203">
        <v>444</v>
      </c>
      <c r="J8" s="93"/>
      <c r="K8" s="203">
        <v>421</v>
      </c>
      <c r="L8" s="93"/>
      <c r="M8" s="194">
        <f t="shared" si="0"/>
        <v>2558</v>
      </c>
      <c r="N8" s="193">
        <v>6</v>
      </c>
      <c r="O8" s="193">
        <v>2</v>
      </c>
      <c r="P8" s="192">
        <v>72</v>
      </c>
      <c r="Q8" s="193">
        <v>2</v>
      </c>
      <c r="R8" s="26">
        <v>1</v>
      </c>
      <c r="S8" s="26"/>
      <c r="T8" s="26"/>
    </row>
    <row r="9" spans="1:20" s="106" customFormat="1" ht="15.75">
      <c r="A9" s="19" t="s">
        <v>3</v>
      </c>
      <c r="B9" s="34" t="s">
        <v>20</v>
      </c>
      <c r="C9" s="85"/>
      <c r="D9" s="95">
        <v>174</v>
      </c>
      <c r="E9" s="95">
        <v>389</v>
      </c>
      <c r="F9" s="201">
        <v>451</v>
      </c>
      <c r="G9" s="95">
        <v>386</v>
      </c>
      <c r="H9" s="95">
        <v>397</v>
      </c>
      <c r="I9" s="201">
        <v>444</v>
      </c>
      <c r="J9" s="95">
        <v>197</v>
      </c>
      <c r="K9" s="95"/>
      <c r="L9" s="95"/>
      <c r="M9" s="116">
        <f t="shared" si="0"/>
        <v>2438</v>
      </c>
      <c r="N9" s="103">
        <v>2</v>
      </c>
      <c r="O9" s="103">
        <v>6</v>
      </c>
      <c r="P9" s="113">
        <v>-10</v>
      </c>
      <c r="Q9" s="103">
        <v>0</v>
      </c>
      <c r="R9" s="114"/>
      <c r="S9" s="114"/>
      <c r="T9" s="114">
        <v>1</v>
      </c>
    </row>
    <row r="10" spans="1:20" s="27" customFormat="1" ht="15.75">
      <c r="A10" s="193" t="s">
        <v>4</v>
      </c>
      <c r="B10" s="47" t="s">
        <v>22</v>
      </c>
      <c r="C10" s="91"/>
      <c r="D10" s="93">
        <v>399</v>
      </c>
      <c r="E10" s="93">
        <v>417</v>
      </c>
      <c r="F10" s="93"/>
      <c r="G10" s="203">
        <v>444</v>
      </c>
      <c r="H10" s="93">
        <v>419</v>
      </c>
      <c r="I10" s="93">
        <v>419</v>
      </c>
      <c r="J10" s="93"/>
      <c r="K10" s="203">
        <v>442</v>
      </c>
      <c r="L10" s="93"/>
      <c r="M10" s="194">
        <f t="shared" si="0"/>
        <v>2540</v>
      </c>
      <c r="N10" s="193">
        <v>2</v>
      </c>
      <c r="O10" s="193">
        <v>6</v>
      </c>
      <c r="P10" s="192">
        <v>-117</v>
      </c>
      <c r="Q10" s="193">
        <v>0</v>
      </c>
      <c r="R10" s="26"/>
      <c r="S10" s="26"/>
      <c r="T10" s="26">
        <v>1</v>
      </c>
    </row>
    <row r="11" spans="1:20" s="106" customFormat="1" ht="15.75">
      <c r="A11" s="19" t="s">
        <v>5</v>
      </c>
      <c r="B11" s="34" t="s">
        <v>195</v>
      </c>
      <c r="C11" s="85"/>
      <c r="D11" s="95"/>
      <c r="E11" s="95">
        <v>422</v>
      </c>
      <c r="F11" s="95">
        <v>426</v>
      </c>
      <c r="G11" s="95">
        <v>397</v>
      </c>
      <c r="H11" s="201">
        <v>436</v>
      </c>
      <c r="I11" s="201">
        <v>471</v>
      </c>
      <c r="J11" s="95"/>
      <c r="K11" s="201">
        <v>432</v>
      </c>
      <c r="L11" s="95"/>
      <c r="M11" s="116">
        <f t="shared" si="0"/>
        <v>2584</v>
      </c>
      <c r="N11" s="103">
        <v>5</v>
      </c>
      <c r="O11" s="103">
        <v>3</v>
      </c>
      <c r="P11" s="103">
        <v>62</v>
      </c>
      <c r="Q11" s="103">
        <v>2</v>
      </c>
      <c r="R11" s="114">
        <v>1</v>
      </c>
      <c r="S11" s="114"/>
      <c r="T11" s="114"/>
    </row>
    <row r="12" spans="1:20" s="27" customFormat="1" ht="15.75">
      <c r="A12" s="193" t="s">
        <v>6</v>
      </c>
      <c r="B12" s="35" t="s">
        <v>196</v>
      </c>
      <c r="C12" s="91"/>
      <c r="D12" s="203">
        <v>438</v>
      </c>
      <c r="E12" s="203">
        <v>435</v>
      </c>
      <c r="F12" s="203">
        <v>412</v>
      </c>
      <c r="G12" s="93">
        <v>167</v>
      </c>
      <c r="H12" s="93">
        <v>180</v>
      </c>
      <c r="I12" s="203">
        <v>423</v>
      </c>
      <c r="J12" s="93"/>
      <c r="K12" s="93">
        <v>382</v>
      </c>
      <c r="L12" s="93"/>
      <c r="M12" s="194">
        <f t="shared" si="0"/>
        <v>2437</v>
      </c>
      <c r="N12" s="193">
        <v>6</v>
      </c>
      <c r="O12" s="193">
        <v>2</v>
      </c>
      <c r="P12" s="192">
        <f>M12-2389</f>
        <v>48</v>
      </c>
      <c r="Q12" s="193">
        <v>2</v>
      </c>
      <c r="R12" s="26">
        <v>1</v>
      </c>
      <c r="S12" s="26"/>
      <c r="T12" s="26"/>
    </row>
    <row r="13" spans="1:18" s="102" customFormat="1" ht="15.75">
      <c r="A13" s="102" t="s">
        <v>7</v>
      </c>
      <c r="B13" s="34" t="s">
        <v>192</v>
      </c>
      <c r="D13" s="102">
        <v>426</v>
      </c>
      <c r="E13" s="250">
        <v>469</v>
      </c>
      <c r="F13" s="102">
        <v>391</v>
      </c>
      <c r="H13" s="250">
        <v>431</v>
      </c>
      <c r="I13" s="250">
        <v>482</v>
      </c>
      <c r="K13" s="102">
        <v>430</v>
      </c>
      <c r="M13" s="270">
        <f t="shared" si="0"/>
        <v>2629</v>
      </c>
      <c r="N13" s="102">
        <v>5</v>
      </c>
      <c r="O13" s="102">
        <v>3</v>
      </c>
      <c r="P13" s="102">
        <v>70</v>
      </c>
      <c r="Q13" s="102">
        <v>2</v>
      </c>
      <c r="R13" s="102">
        <v>1</v>
      </c>
    </row>
    <row r="14" spans="1:18" s="47" customFormat="1" ht="15.75">
      <c r="A14" s="47" t="s">
        <v>8</v>
      </c>
      <c r="B14" s="35" t="s">
        <v>272</v>
      </c>
      <c r="D14" s="35">
        <v>405</v>
      </c>
      <c r="E14" s="202">
        <v>438</v>
      </c>
      <c r="F14" s="35"/>
      <c r="G14" s="35">
        <v>414</v>
      </c>
      <c r="H14" s="202">
        <v>451</v>
      </c>
      <c r="I14" s="202">
        <v>467</v>
      </c>
      <c r="J14" s="35"/>
      <c r="K14" s="202">
        <v>441</v>
      </c>
      <c r="L14" s="35"/>
      <c r="M14" s="272">
        <f t="shared" si="0"/>
        <v>2616</v>
      </c>
      <c r="N14" s="47">
        <v>6</v>
      </c>
      <c r="O14" s="47">
        <v>2</v>
      </c>
      <c r="P14" s="245">
        <v>115</v>
      </c>
      <c r="Q14" s="47">
        <v>2</v>
      </c>
      <c r="R14" s="47">
        <v>1</v>
      </c>
    </row>
    <row r="15" spans="1:20" s="102" customFormat="1" ht="15.75">
      <c r="A15" s="102" t="s">
        <v>9</v>
      </c>
      <c r="B15" s="34" t="s">
        <v>19</v>
      </c>
      <c r="D15" s="34">
        <v>173</v>
      </c>
      <c r="E15" s="250">
        <v>444</v>
      </c>
      <c r="F15" s="34"/>
      <c r="G15" s="34">
        <v>415</v>
      </c>
      <c r="H15" s="250">
        <v>457</v>
      </c>
      <c r="I15" s="34">
        <v>427</v>
      </c>
      <c r="J15" s="34">
        <v>214</v>
      </c>
      <c r="K15" s="250">
        <v>444</v>
      </c>
      <c r="L15" s="34"/>
      <c r="M15" s="270">
        <f t="shared" si="0"/>
        <v>2574</v>
      </c>
      <c r="N15" s="102">
        <v>3</v>
      </c>
      <c r="O15" s="102">
        <v>5</v>
      </c>
      <c r="P15" s="102">
        <v>-4</v>
      </c>
      <c r="Q15" s="102">
        <v>0</v>
      </c>
      <c r="T15" s="102">
        <v>1</v>
      </c>
    </row>
    <row r="16" spans="1:20" s="47" customFormat="1" ht="15.75">
      <c r="A16" s="47" t="s">
        <v>10</v>
      </c>
      <c r="B16" s="47" t="s">
        <v>18</v>
      </c>
      <c r="D16" s="35"/>
      <c r="E16" s="35"/>
      <c r="F16" s="202">
        <v>440</v>
      </c>
      <c r="G16" s="35">
        <v>417</v>
      </c>
      <c r="H16" s="35">
        <v>421</v>
      </c>
      <c r="I16" s="202">
        <v>429</v>
      </c>
      <c r="J16" s="35">
        <v>407</v>
      </c>
      <c r="K16" s="202">
        <v>434</v>
      </c>
      <c r="L16" s="35"/>
      <c r="M16" s="272">
        <f t="shared" si="0"/>
        <v>2548</v>
      </c>
      <c r="N16" s="47">
        <v>3</v>
      </c>
      <c r="O16" s="47">
        <v>5</v>
      </c>
      <c r="P16" s="245">
        <v>-46</v>
      </c>
      <c r="Q16" s="47">
        <v>0</v>
      </c>
      <c r="T16" s="47">
        <v>1</v>
      </c>
    </row>
    <row r="17" spans="1:20" s="102" customFormat="1" ht="15.75">
      <c r="A17" s="102" t="s">
        <v>11</v>
      </c>
      <c r="B17" s="102" t="s">
        <v>17</v>
      </c>
      <c r="D17" s="34"/>
      <c r="E17" s="34">
        <v>421</v>
      </c>
      <c r="F17" s="34">
        <v>405</v>
      </c>
      <c r="G17" s="34">
        <v>412</v>
      </c>
      <c r="H17" s="34"/>
      <c r="I17" s="34">
        <v>418</v>
      </c>
      <c r="J17" s="34">
        <v>406</v>
      </c>
      <c r="K17" s="250">
        <v>452</v>
      </c>
      <c r="L17" s="34"/>
      <c r="M17" s="270">
        <f t="shared" si="0"/>
        <v>2514</v>
      </c>
      <c r="N17" s="102">
        <v>1</v>
      </c>
      <c r="O17" s="102">
        <v>7</v>
      </c>
      <c r="P17" s="168">
        <v>-102</v>
      </c>
      <c r="Q17" s="102">
        <v>0</v>
      </c>
      <c r="T17" s="102">
        <v>1</v>
      </c>
    </row>
    <row r="18" spans="1:18" s="47" customFormat="1" ht="15.75">
      <c r="A18" s="47" t="s">
        <v>12</v>
      </c>
      <c r="B18" s="47" t="s">
        <v>193</v>
      </c>
      <c r="D18" s="35"/>
      <c r="E18" s="35"/>
      <c r="F18" s="202">
        <v>410</v>
      </c>
      <c r="G18" s="202">
        <v>416</v>
      </c>
      <c r="H18" s="202">
        <v>438</v>
      </c>
      <c r="I18" s="35">
        <v>387</v>
      </c>
      <c r="J18" s="202">
        <v>427</v>
      </c>
      <c r="K18" s="35">
        <v>405</v>
      </c>
      <c r="L18" s="35"/>
      <c r="M18" s="272">
        <f t="shared" si="0"/>
        <v>2483</v>
      </c>
      <c r="N18" s="47">
        <v>6</v>
      </c>
      <c r="O18" s="47">
        <v>2</v>
      </c>
      <c r="P18" s="47">
        <v>127</v>
      </c>
      <c r="Q18" s="47">
        <v>2</v>
      </c>
      <c r="R18" s="47">
        <v>1</v>
      </c>
    </row>
    <row r="19" spans="1:19" s="102" customFormat="1" ht="15.75">
      <c r="A19" s="102" t="s">
        <v>13</v>
      </c>
      <c r="B19" s="102" t="s">
        <v>241</v>
      </c>
      <c r="D19" s="34"/>
      <c r="E19" s="250">
        <v>440</v>
      </c>
      <c r="F19" s="34">
        <v>194</v>
      </c>
      <c r="G19" s="34">
        <v>409</v>
      </c>
      <c r="H19" s="250">
        <v>434</v>
      </c>
      <c r="I19" s="250">
        <v>441</v>
      </c>
      <c r="J19" s="34">
        <v>186</v>
      </c>
      <c r="K19" s="250">
        <v>454</v>
      </c>
      <c r="L19" s="34"/>
      <c r="M19" s="270">
        <f t="shared" si="0"/>
        <v>2558</v>
      </c>
      <c r="N19" s="102">
        <v>4</v>
      </c>
      <c r="O19" s="102">
        <v>4</v>
      </c>
      <c r="P19" s="102">
        <v>-24</v>
      </c>
      <c r="Q19" s="102">
        <v>1</v>
      </c>
      <c r="S19" s="102">
        <v>1</v>
      </c>
    </row>
    <row r="20" spans="1:20" s="47" customFormat="1" ht="15.75">
      <c r="A20" s="47" t="s">
        <v>14</v>
      </c>
      <c r="B20" s="35" t="s">
        <v>234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272" t="s">
        <v>234</v>
      </c>
      <c r="N20" s="277"/>
      <c r="O20" s="277"/>
      <c r="P20" s="278"/>
      <c r="Q20" s="277"/>
      <c r="R20" s="277"/>
      <c r="S20" s="277"/>
      <c r="T20" s="277"/>
    </row>
    <row r="21" spans="1:18" s="102" customFormat="1" ht="15.75">
      <c r="A21" s="102" t="s">
        <v>239</v>
      </c>
      <c r="B21" s="34" t="s">
        <v>242</v>
      </c>
      <c r="D21" s="250">
        <v>439</v>
      </c>
      <c r="E21" s="34">
        <v>418</v>
      </c>
      <c r="F21" s="250">
        <v>435</v>
      </c>
      <c r="G21" s="34"/>
      <c r="H21" s="250">
        <v>424</v>
      </c>
      <c r="I21" s="34"/>
      <c r="J21" s="34">
        <v>417</v>
      </c>
      <c r="K21" s="34">
        <v>405</v>
      </c>
      <c r="L21" s="34"/>
      <c r="M21" s="270">
        <f>SUM(C21:L21)</f>
        <v>2538</v>
      </c>
      <c r="N21" s="102">
        <v>5</v>
      </c>
      <c r="O21" s="102">
        <v>3</v>
      </c>
      <c r="P21" s="102">
        <v>7</v>
      </c>
      <c r="Q21" s="102">
        <v>2</v>
      </c>
      <c r="R21" s="102">
        <v>1</v>
      </c>
    </row>
    <row r="22" spans="1:20" s="102" customFormat="1" ht="16.5" thickBot="1">
      <c r="A22" s="102" t="s">
        <v>240</v>
      </c>
      <c r="B22" s="102" t="s">
        <v>194</v>
      </c>
      <c r="C22" s="150"/>
      <c r="D22" s="150">
        <v>417</v>
      </c>
      <c r="E22" s="354">
        <v>431</v>
      </c>
      <c r="F22" s="150"/>
      <c r="G22" s="150"/>
      <c r="H22" s="354">
        <v>444</v>
      </c>
      <c r="I22" s="150">
        <v>400</v>
      </c>
      <c r="J22" s="150">
        <v>419</v>
      </c>
      <c r="K22" s="150">
        <v>404</v>
      </c>
      <c r="L22" s="150"/>
      <c r="M22" s="270">
        <f>SUM(C22:L22)</f>
        <v>2515</v>
      </c>
      <c r="N22" s="171">
        <v>2</v>
      </c>
      <c r="O22" s="171">
        <v>6</v>
      </c>
      <c r="P22" s="170">
        <v>-86</v>
      </c>
      <c r="Q22" s="171">
        <v>0</v>
      </c>
      <c r="R22" s="171"/>
      <c r="S22" s="171"/>
      <c r="T22" s="171">
        <v>1</v>
      </c>
    </row>
    <row r="23" spans="3:20" ht="16.5" thickTop="1">
      <c r="C23" s="6">
        <f aca="true" t="shared" si="1" ref="C23:L23">SUM(C6:C22)</f>
        <v>0</v>
      </c>
      <c r="D23" s="6">
        <f>SUM(D6:D8)+SUM(D10:D14)+SUM(D16:D22)</f>
        <v>3362</v>
      </c>
      <c r="E23" s="6">
        <f t="shared" si="1"/>
        <v>5553</v>
      </c>
      <c r="F23" s="56">
        <f>SUM(F6:F18)+SUM(F20:F22)</f>
        <v>4612</v>
      </c>
      <c r="G23" s="6">
        <f>SUM(G6:G11)+SUM(G13:G22)</f>
        <v>4130</v>
      </c>
      <c r="H23" s="6">
        <f>SUM(H6:H11)+SUM(H13:H22)</f>
        <v>5615</v>
      </c>
      <c r="I23" s="6">
        <f t="shared" si="1"/>
        <v>6530</v>
      </c>
      <c r="J23" s="56">
        <f>SUM(J6:J8)+SUM(J16:J18)+SUM(J20:J22)</f>
        <v>2881</v>
      </c>
      <c r="K23" s="6">
        <f t="shared" si="1"/>
        <v>6414</v>
      </c>
      <c r="L23" s="6">
        <f t="shared" si="1"/>
        <v>0</v>
      </c>
      <c r="R23" s="2">
        <f>SUM(R6:R22)</f>
        <v>8</v>
      </c>
      <c r="S23" s="2">
        <f>SUM(S6:S22)</f>
        <v>1</v>
      </c>
      <c r="T23" s="2">
        <f>SUM(T6:T22)</f>
        <v>7</v>
      </c>
    </row>
    <row r="24" spans="2:12" ht="15.75">
      <c r="B24" s="1" t="s">
        <v>173</v>
      </c>
      <c r="C24" s="6">
        <f>COUNT(C6:C22)</f>
        <v>0</v>
      </c>
      <c r="D24" s="6">
        <f>COUNT(D6:D8)+COUNT(D10:D14)+COUNT(D16:D22)</f>
        <v>8</v>
      </c>
      <c r="E24" s="6">
        <f aca="true" t="shared" si="2" ref="E24:K24">COUNT(E6:E22)</f>
        <v>13</v>
      </c>
      <c r="F24" s="7">
        <f>COUNT(F6:F18)+COUNT(F20:F22)</f>
        <v>11</v>
      </c>
      <c r="G24" s="6">
        <f>COUNT(G6:G11)+COUNT(G13:G22)</f>
        <v>10</v>
      </c>
      <c r="H24" s="6">
        <f>COUNT(H6:H11)+COUNT(H13:H22)</f>
        <v>13</v>
      </c>
      <c r="I24" s="6">
        <f t="shared" si="2"/>
        <v>15</v>
      </c>
      <c r="J24" s="7">
        <f>COUNT(J6:J7)+COUNT(J16:J18)+COUNT(J20:J22)</f>
        <v>7</v>
      </c>
      <c r="K24" s="6">
        <f t="shared" si="2"/>
        <v>15</v>
      </c>
      <c r="L24" s="6">
        <f>COUNT(L6:L22)</f>
        <v>0</v>
      </c>
    </row>
    <row r="25" spans="2:20" ht="33.75" customHeight="1">
      <c r="B25" s="11" t="s">
        <v>119</v>
      </c>
      <c r="C25" s="16"/>
      <c r="D25" s="16">
        <f aca="true" t="shared" si="3" ref="D25:K25">D23/D24</f>
        <v>420.25</v>
      </c>
      <c r="E25" s="16">
        <f t="shared" si="3"/>
        <v>427.15384615384613</v>
      </c>
      <c r="F25" s="17">
        <f>F23/F24</f>
        <v>419.27272727272725</v>
      </c>
      <c r="G25" s="16">
        <f t="shared" si="3"/>
        <v>413</v>
      </c>
      <c r="H25" s="16">
        <f t="shared" si="3"/>
        <v>431.9230769230769</v>
      </c>
      <c r="I25" s="16">
        <f t="shared" si="3"/>
        <v>435.3333333333333</v>
      </c>
      <c r="J25" s="17">
        <f>J23/J24</f>
        <v>411.57142857142856</v>
      </c>
      <c r="K25" s="16">
        <f t="shared" si="3"/>
        <v>427.6</v>
      </c>
      <c r="L25" s="16"/>
      <c r="M25" s="3" t="s">
        <v>29</v>
      </c>
      <c r="N25" s="461" t="s">
        <v>109</v>
      </c>
      <c r="O25" s="461"/>
      <c r="P25" s="3" t="s">
        <v>30</v>
      </c>
      <c r="Q25" s="10" t="s">
        <v>110</v>
      </c>
      <c r="S25" s="63" t="s">
        <v>118</v>
      </c>
      <c r="T25" s="63" t="s">
        <v>209</v>
      </c>
    </row>
    <row r="26" spans="13:20" ht="15.75">
      <c r="M26" s="6">
        <f>SUM(M6:M22)</f>
        <v>40582</v>
      </c>
      <c r="N26" s="1">
        <f>SUM(N6:N22)</f>
        <v>64</v>
      </c>
      <c r="O26" s="1">
        <f>SUM(O6:O22)</f>
        <v>64</v>
      </c>
      <c r="P26" s="1">
        <f>SUM(P6:P22)</f>
        <v>180</v>
      </c>
      <c r="Q26" s="1">
        <f>SUM(Q6:Q22)</f>
        <v>17</v>
      </c>
      <c r="S26" s="2">
        <f>N26-O26</f>
        <v>0</v>
      </c>
      <c r="T26" s="2">
        <f>SUM(R23:T23)</f>
        <v>16</v>
      </c>
    </row>
    <row r="28" spans="3:12" ht="15.75">
      <c r="C28" s="466" t="s">
        <v>37</v>
      </c>
      <c r="D28" s="466"/>
      <c r="E28" s="466"/>
      <c r="G28" s="458" t="s">
        <v>124</v>
      </c>
      <c r="H28" s="458"/>
      <c r="I28" s="458"/>
      <c r="J28" s="462" t="s">
        <v>125</v>
      </c>
      <c r="K28" s="462"/>
      <c r="L28" s="462"/>
    </row>
    <row r="29" spans="1:20" ht="16.5" thickBo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123"/>
      <c r="S29" s="123"/>
      <c r="T29" s="123"/>
    </row>
    <row r="30" spans="1:7" ht="15.75">
      <c r="A30" s="42"/>
      <c r="B30" s="40"/>
      <c r="C30" s="40"/>
      <c r="D30" s="40"/>
      <c r="E30" s="40"/>
      <c r="F30" s="41"/>
      <c r="G30" s="40"/>
    </row>
    <row r="31" spans="2:20" ht="36.75" customHeight="1" thickBot="1">
      <c r="B31" s="181"/>
      <c r="C31" s="8" t="s">
        <v>141</v>
      </c>
      <c r="D31" s="151" t="s">
        <v>183</v>
      </c>
      <c r="E31" s="8" t="s">
        <v>44</v>
      </c>
      <c r="F31" s="8" t="s">
        <v>45</v>
      </c>
      <c r="G31" s="8" t="s">
        <v>46</v>
      </c>
      <c r="H31" s="8" t="s">
        <v>47</v>
      </c>
      <c r="I31" s="8" t="s">
        <v>122</v>
      </c>
      <c r="J31" s="8" t="s">
        <v>111</v>
      </c>
      <c r="K31" s="8" t="s">
        <v>113</v>
      </c>
      <c r="L31" s="8"/>
      <c r="M31" s="5" t="s">
        <v>29</v>
      </c>
      <c r="N31" s="3" t="s">
        <v>15</v>
      </c>
      <c r="O31" s="3" t="s">
        <v>28</v>
      </c>
      <c r="P31" s="3" t="s">
        <v>30</v>
      </c>
      <c r="Q31" s="10" t="s">
        <v>108</v>
      </c>
      <c r="R31" s="2" t="s">
        <v>174</v>
      </c>
      <c r="S31" s="2" t="s">
        <v>175</v>
      </c>
      <c r="T31" s="2" t="s">
        <v>176</v>
      </c>
    </row>
    <row r="32" spans="1:18" s="106" customFormat="1" ht="15.75">
      <c r="A32" s="19" t="s">
        <v>145</v>
      </c>
      <c r="B32" s="34" t="s">
        <v>272</v>
      </c>
      <c r="C32" s="85"/>
      <c r="D32" s="95"/>
      <c r="E32" s="201">
        <v>437</v>
      </c>
      <c r="F32" s="95">
        <v>424</v>
      </c>
      <c r="G32" s="95">
        <v>404</v>
      </c>
      <c r="H32" s="95">
        <v>421</v>
      </c>
      <c r="I32" s="201">
        <v>447</v>
      </c>
      <c r="J32" s="201">
        <v>438</v>
      </c>
      <c r="K32" s="95"/>
      <c r="L32" s="95"/>
      <c r="M32" s="105">
        <f>SUM(C32:L32)</f>
        <v>2571</v>
      </c>
      <c r="N32" s="103">
        <v>5</v>
      </c>
      <c r="O32" s="103">
        <v>3</v>
      </c>
      <c r="P32" s="103">
        <v>59</v>
      </c>
      <c r="Q32" s="103">
        <v>2</v>
      </c>
      <c r="R32" s="106">
        <v>1</v>
      </c>
    </row>
    <row r="33" spans="1:20" s="231" customFormat="1" ht="15.75">
      <c r="A33" s="25" t="s">
        <v>146</v>
      </c>
      <c r="B33" s="35" t="s">
        <v>19</v>
      </c>
      <c r="C33" s="91"/>
      <c r="D33" s="203">
        <v>426</v>
      </c>
      <c r="E33" s="93">
        <v>399</v>
      </c>
      <c r="F33" s="93"/>
      <c r="G33" s="93"/>
      <c r="H33" s="203">
        <v>445</v>
      </c>
      <c r="I33" s="93">
        <v>413</v>
      </c>
      <c r="J33" s="93">
        <v>399</v>
      </c>
      <c r="K33" s="203">
        <v>438</v>
      </c>
      <c r="L33" s="93"/>
      <c r="M33" s="200">
        <f aca="true" t="shared" si="4" ref="M33:M48">SUM(C33:L33)</f>
        <v>2520</v>
      </c>
      <c r="N33" s="193">
        <v>3</v>
      </c>
      <c r="O33" s="193">
        <v>5</v>
      </c>
      <c r="P33" s="193">
        <v>-38</v>
      </c>
      <c r="Q33" s="193">
        <v>0</v>
      </c>
      <c r="T33" s="231">
        <v>1</v>
      </c>
    </row>
    <row r="34" spans="1:18" s="23" customFormat="1" ht="15.75">
      <c r="A34" s="204" t="s">
        <v>147</v>
      </c>
      <c r="B34" s="206" t="s">
        <v>18</v>
      </c>
      <c r="C34" s="211"/>
      <c r="D34" s="344">
        <v>446</v>
      </c>
      <c r="E34" s="254"/>
      <c r="F34" s="254">
        <v>407</v>
      </c>
      <c r="G34" s="344">
        <v>421</v>
      </c>
      <c r="H34" s="344">
        <v>470</v>
      </c>
      <c r="I34" s="254">
        <v>409</v>
      </c>
      <c r="J34" s="254"/>
      <c r="K34" s="254">
        <v>405</v>
      </c>
      <c r="L34" s="254"/>
      <c r="M34" s="58">
        <f t="shared" si="4"/>
        <v>2558</v>
      </c>
      <c r="N34" s="19">
        <v>5</v>
      </c>
      <c r="O34" s="19">
        <v>3</v>
      </c>
      <c r="P34" s="19">
        <v>20</v>
      </c>
      <c r="Q34" s="19">
        <v>2</v>
      </c>
      <c r="R34" s="23">
        <v>1</v>
      </c>
    </row>
    <row r="35" spans="1:20" s="231" customFormat="1" ht="15.75">
      <c r="A35" s="25" t="s">
        <v>148</v>
      </c>
      <c r="B35" s="47" t="s">
        <v>17</v>
      </c>
      <c r="C35" s="91"/>
      <c r="D35" s="93">
        <v>425</v>
      </c>
      <c r="E35" s="93">
        <v>409</v>
      </c>
      <c r="F35" s="93"/>
      <c r="G35" s="203">
        <v>434</v>
      </c>
      <c r="H35" s="93">
        <v>422</v>
      </c>
      <c r="I35" s="93"/>
      <c r="J35" s="93">
        <v>392</v>
      </c>
      <c r="K35" s="202">
        <v>429</v>
      </c>
      <c r="L35" s="93"/>
      <c r="M35" s="200">
        <f t="shared" si="4"/>
        <v>2511</v>
      </c>
      <c r="N35" s="193">
        <v>2</v>
      </c>
      <c r="O35" s="193">
        <v>6</v>
      </c>
      <c r="P35" s="193">
        <v>-82</v>
      </c>
      <c r="Q35" s="193">
        <v>0</v>
      </c>
      <c r="T35" s="231">
        <v>1</v>
      </c>
    </row>
    <row r="36" spans="1:18" s="211" customFormat="1" ht="15.75">
      <c r="A36" s="83" t="s">
        <v>149</v>
      </c>
      <c r="B36" s="96" t="s">
        <v>193</v>
      </c>
      <c r="C36" s="106"/>
      <c r="D36" s="154"/>
      <c r="E36" s="350">
        <v>445</v>
      </c>
      <c r="F36" s="154"/>
      <c r="G36" s="350">
        <v>436</v>
      </c>
      <c r="H36" s="350">
        <v>459</v>
      </c>
      <c r="I36" s="350">
        <v>463</v>
      </c>
      <c r="J36" s="154">
        <v>365</v>
      </c>
      <c r="K36" s="350">
        <v>414</v>
      </c>
      <c r="L36" s="154"/>
      <c r="M36" s="366">
        <f t="shared" si="4"/>
        <v>2582</v>
      </c>
      <c r="N36" s="204">
        <v>7</v>
      </c>
      <c r="O36" s="204">
        <v>1</v>
      </c>
      <c r="P36" s="204">
        <v>215</v>
      </c>
      <c r="Q36" s="204">
        <v>2</v>
      </c>
      <c r="R36" s="211">
        <v>1</v>
      </c>
    </row>
    <row r="37" spans="1:20" s="231" customFormat="1" ht="15.75">
      <c r="A37" s="25" t="s">
        <v>150</v>
      </c>
      <c r="B37" s="47" t="s">
        <v>241</v>
      </c>
      <c r="C37" s="91"/>
      <c r="D37" s="93"/>
      <c r="E37" s="93">
        <v>390</v>
      </c>
      <c r="F37" s="93"/>
      <c r="G37" s="203">
        <v>453</v>
      </c>
      <c r="H37" s="203">
        <v>450</v>
      </c>
      <c r="I37" s="203">
        <v>448</v>
      </c>
      <c r="J37" s="93">
        <v>378</v>
      </c>
      <c r="K37" s="93">
        <v>424</v>
      </c>
      <c r="L37" s="93"/>
      <c r="M37" s="200">
        <f t="shared" si="4"/>
        <v>2543</v>
      </c>
      <c r="N37" s="193">
        <v>3</v>
      </c>
      <c r="O37" s="193">
        <v>5</v>
      </c>
      <c r="P37" s="193">
        <v>-95</v>
      </c>
      <c r="Q37" s="193">
        <v>0</v>
      </c>
      <c r="T37" s="231">
        <v>1</v>
      </c>
    </row>
    <row r="38" spans="1:17" s="148" customFormat="1" ht="15.75">
      <c r="A38" s="145" t="s">
        <v>151</v>
      </c>
      <c r="B38" s="149" t="s">
        <v>234</v>
      </c>
      <c r="C38" s="370"/>
      <c r="D38" s="219"/>
      <c r="E38" s="219"/>
      <c r="F38" s="219"/>
      <c r="G38" s="219"/>
      <c r="H38" s="219"/>
      <c r="I38" s="219"/>
      <c r="J38" s="219"/>
      <c r="K38" s="219"/>
      <c r="L38" s="220"/>
      <c r="M38" s="367" t="s">
        <v>234</v>
      </c>
      <c r="N38" s="368"/>
      <c r="O38" s="368"/>
      <c r="P38" s="368"/>
      <c r="Q38" s="368"/>
    </row>
    <row r="39" spans="1:20" s="231" customFormat="1" ht="15.75">
      <c r="A39" s="25" t="s">
        <v>152</v>
      </c>
      <c r="B39" s="35" t="s">
        <v>242</v>
      </c>
      <c r="C39" s="91"/>
      <c r="D39" s="93"/>
      <c r="E39" s="203">
        <v>448</v>
      </c>
      <c r="F39" s="93"/>
      <c r="G39" s="93">
        <v>433</v>
      </c>
      <c r="H39" s="93">
        <v>417</v>
      </c>
      <c r="I39" s="203">
        <v>462</v>
      </c>
      <c r="J39" s="93">
        <v>395</v>
      </c>
      <c r="K39" s="203">
        <v>439</v>
      </c>
      <c r="L39" s="93"/>
      <c r="M39" s="200">
        <f t="shared" si="4"/>
        <v>2594</v>
      </c>
      <c r="N39" s="193">
        <v>3</v>
      </c>
      <c r="O39" s="193">
        <v>5</v>
      </c>
      <c r="P39" s="193">
        <v>-24</v>
      </c>
      <c r="Q39" s="193">
        <v>0</v>
      </c>
      <c r="T39" s="231">
        <v>1</v>
      </c>
    </row>
    <row r="40" spans="1:20" s="91" customFormat="1" ht="15.75">
      <c r="A40" s="25" t="s">
        <v>153</v>
      </c>
      <c r="B40" s="47" t="s">
        <v>194</v>
      </c>
      <c r="D40" s="158"/>
      <c r="E40" s="226">
        <v>423</v>
      </c>
      <c r="F40" s="251">
        <v>453</v>
      </c>
      <c r="G40" s="226">
        <v>430</v>
      </c>
      <c r="H40" s="28">
        <v>429</v>
      </c>
      <c r="I40" s="35">
        <v>425</v>
      </c>
      <c r="J40" s="202">
        <v>450</v>
      </c>
      <c r="K40" s="35"/>
      <c r="L40" s="88"/>
      <c r="M40" s="89">
        <f t="shared" si="4"/>
        <v>2610</v>
      </c>
      <c r="N40" s="87">
        <v>2</v>
      </c>
      <c r="O40" s="87">
        <v>6</v>
      </c>
      <c r="P40" s="87">
        <v>-102</v>
      </c>
      <c r="Q40" s="87">
        <v>0</v>
      </c>
      <c r="T40" s="91">
        <v>1</v>
      </c>
    </row>
    <row r="41" spans="1:18" s="27" customFormat="1" ht="15.75">
      <c r="A41" s="193" t="s">
        <v>154</v>
      </c>
      <c r="B41" s="227" t="s">
        <v>238</v>
      </c>
      <c r="C41" s="231"/>
      <c r="D41" s="257"/>
      <c r="E41" s="257">
        <v>416</v>
      </c>
      <c r="F41" s="346">
        <v>438</v>
      </c>
      <c r="G41" s="257">
        <v>428</v>
      </c>
      <c r="H41" s="257">
        <v>419</v>
      </c>
      <c r="I41" s="346">
        <v>478</v>
      </c>
      <c r="J41" s="257"/>
      <c r="K41" s="346">
        <v>431</v>
      </c>
      <c r="L41" s="257"/>
      <c r="M41" s="128">
        <f t="shared" si="4"/>
        <v>2610</v>
      </c>
      <c r="N41" s="25">
        <v>5</v>
      </c>
      <c r="O41" s="25">
        <v>3</v>
      </c>
      <c r="P41" s="25">
        <v>74</v>
      </c>
      <c r="Q41" s="25">
        <v>2</v>
      </c>
      <c r="R41" s="27">
        <v>1</v>
      </c>
    </row>
    <row r="42" spans="1:20" s="106" customFormat="1" ht="15.75">
      <c r="A42" s="19" t="s">
        <v>155</v>
      </c>
      <c r="B42" s="102" t="s">
        <v>25</v>
      </c>
      <c r="C42" s="85"/>
      <c r="D42" s="95">
        <v>402</v>
      </c>
      <c r="E42" s="95">
        <v>418</v>
      </c>
      <c r="F42" s="95">
        <v>414</v>
      </c>
      <c r="G42" s="95"/>
      <c r="H42" s="201">
        <v>433</v>
      </c>
      <c r="I42" s="201">
        <v>461</v>
      </c>
      <c r="J42" s="95"/>
      <c r="K42" s="201">
        <v>452</v>
      </c>
      <c r="L42" s="95"/>
      <c r="M42" s="105">
        <f t="shared" si="4"/>
        <v>2580</v>
      </c>
      <c r="N42" s="103">
        <v>3</v>
      </c>
      <c r="O42" s="103">
        <v>5</v>
      </c>
      <c r="P42" s="103">
        <v>-34</v>
      </c>
      <c r="Q42" s="103">
        <v>0</v>
      </c>
      <c r="T42" s="106">
        <v>1</v>
      </c>
    </row>
    <row r="43" spans="1:18" s="23" customFormat="1" ht="15.75">
      <c r="A43" s="204" t="s">
        <v>156</v>
      </c>
      <c r="B43" s="205" t="s">
        <v>21</v>
      </c>
      <c r="C43" s="211"/>
      <c r="D43" s="344">
        <v>435</v>
      </c>
      <c r="E43" s="254"/>
      <c r="F43" s="254"/>
      <c r="G43" s="344">
        <v>435</v>
      </c>
      <c r="H43" s="254">
        <v>416</v>
      </c>
      <c r="I43" s="344">
        <v>446</v>
      </c>
      <c r="J43" s="254">
        <v>428</v>
      </c>
      <c r="K43" s="344">
        <v>434</v>
      </c>
      <c r="L43" s="254"/>
      <c r="M43" s="58">
        <f t="shared" si="4"/>
        <v>2594</v>
      </c>
      <c r="N43" s="19">
        <v>6</v>
      </c>
      <c r="O43" s="19">
        <v>2</v>
      </c>
      <c r="P43" s="19">
        <v>68</v>
      </c>
      <c r="Q43" s="19">
        <v>2</v>
      </c>
      <c r="R43" s="23">
        <v>1</v>
      </c>
    </row>
    <row r="44" spans="1:18" s="27" customFormat="1" ht="15.75">
      <c r="A44" s="87" t="s">
        <v>157</v>
      </c>
      <c r="B44" s="93" t="s">
        <v>20</v>
      </c>
      <c r="C44" s="231"/>
      <c r="D44" s="257"/>
      <c r="E44" s="346">
        <v>434</v>
      </c>
      <c r="F44" s="257">
        <v>410</v>
      </c>
      <c r="G44" s="257">
        <v>430</v>
      </c>
      <c r="H44" s="257"/>
      <c r="I44" s="346">
        <v>434</v>
      </c>
      <c r="J44" s="257">
        <v>420</v>
      </c>
      <c r="K44" s="346">
        <v>440</v>
      </c>
      <c r="L44" s="257"/>
      <c r="M44" s="128">
        <f t="shared" si="4"/>
        <v>2568</v>
      </c>
      <c r="N44" s="25">
        <v>5</v>
      </c>
      <c r="O44" s="25">
        <v>3</v>
      </c>
      <c r="P44" s="25">
        <v>45</v>
      </c>
      <c r="Q44" s="25">
        <v>2</v>
      </c>
      <c r="R44" s="27">
        <v>1</v>
      </c>
    </row>
    <row r="45" spans="1:20" s="211" customFormat="1" ht="15.75">
      <c r="A45" s="83" t="s">
        <v>243</v>
      </c>
      <c r="B45" s="96" t="s">
        <v>22</v>
      </c>
      <c r="C45" s="142"/>
      <c r="D45" s="154"/>
      <c r="E45" s="154">
        <v>404</v>
      </c>
      <c r="F45" s="438">
        <v>454</v>
      </c>
      <c r="G45" s="438">
        <v>453</v>
      </c>
      <c r="H45" s="154">
        <v>400</v>
      </c>
      <c r="I45" s="154">
        <v>445</v>
      </c>
      <c r="J45" s="154"/>
      <c r="K45" s="154">
        <v>420</v>
      </c>
      <c r="L45" s="154"/>
      <c r="M45" s="366">
        <f t="shared" si="4"/>
        <v>2576</v>
      </c>
      <c r="N45" s="204">
        <v>2</v>
      </c>
      <c r="O45" s="204">
        <v>6</v>
      </c>
      <c r="P45" s="204">
        <v>-132</v>
      </c>
      <c r="Q45" s="204">
        <v>0</v>
      </c>
      <c r="T45" s="211">
        <v>1</v>
      </c>
    </row>
    <row r="46" spans="1:20" s="27" customFormat="1" ht="15.75">
      <c r="A46" s="87" t="s">
        <v>244</v>
      </c>
      <c r="B46" s="93" t="s">
        <v>195</v>
      </c>
      <c r="C46" s="231"/>
      <c r="D46" s="257"/>
      <c r="E46" s="257">
        <v>406</v>
      </c>
      <c r="F46" s="257"/>
      <c r="G46" s="257">
        <v>414</v>
      </c>
      <c r="H46" s="346">
        <v>438</v>
      </c>
      <c r="I46" s="346">
        <v>438</v>
      </c>
      <c r="J46" s="257">
        <v>426</v>
      </c>
      <c r="K46" s="346">
        <v>456</v>
      </c>
      <c r="L46" s="257"/>
      <c r="M46" s="128">
        <f t="shared" si="4"/>
        <v>2578</v>
      </c>
      <c r="N46" s="25">
        <v>3</v>
      </c>
      <c r="O46" s="25">
        <v>5</v>
      </c>
      <c r="P46" s="25">
        <v>-63</v>
      </c>
      <c r="Q46" s="25">
        <v>0</v>
      </c>
      <c r="T46" s="27">
        <v>1</v>
      </c>
    </row>
    <row r="47" spans="1:18" s="106" customFormat="1" ht="15.75">
      <c r="A47" s="19" t="s">
        <v>266</v>
      </c>
      <c r="B47" s="34" t="s">
        <v>196</v>
      </c>
      <c r="C47" s="85"/>
      <c r="D47" s="95">
        <v>417</v>
      </c>
      <c r="E47" s="95"/>
      <c r="F47" s="201">
        <v>434</v>
      </c>
      <c r="G47" s="201">
        <v>448</v>
      </c>
      <c r="H47" s="201">
        <v>474</v>
      </c>
      <c r="I47" s="201">
        <v>443</v>
      </c>
      <c r="J47" s="95"/>
      <c r="K47" s="201">
        <v>450</v>
      </c>
      <c r="L47" s="95"/>
      <c r="M47" s="105">
        <f t="shared" si="4"/>
        <v>2666</v>
      </c>
      <c r="N47" s="103">
        <v>7</v>
      </c>
      <c r="O47" s="103">
        <v>1</v>
      </c>
      <c r="P47" s="103">
        <v>211</v>
      </c>
      <c r="Q47" s="103">
        <v>2</v>
      </c>
      <c r="R47" s="106">
        <v>1</v>
      </c>
    </row>
    <row r="48" spans="1:20" s="27" customFormat="1" ht="16.5" thickBot="1">
      <c r="A48" s="87" t="s">
        <v>267</v>
      </c>
      <c r="B48" s="93" t="s">
        <v>192</v>
      </c>
      <c r="C48" s="231"/>
      <c r="D48" s="454">
        <v>452</v>
      </c>
      <c r="E48" s="385">
        <v>442</v>
      </c>
      <c r="F48" s="454">
        <v>457</v>
      </c>
      <c r="G48" s="385">
        <v>444</v>
      </c>
      <c r="H48" s="385"/>
      <c r="I48" s="385"/>
      <c r="J48" s="385">
        <v>441</v>
      </c>
      <c r="K48" s="454">
        <v>450</v>
      </c>
      <c r="L48" s="385"/>
      <c r="M48" s="128">
        <f t="shared" si="4"/>
        <v>2686</v>
      </c>
      <c r="N48" s="32">
        <v>5</v>
      </c>
      <c r="O48" s="32">
        <v>3</v>
      </c>
      <c r="P48" s="32">
        <v>61</v>
      </c>
      <c r="Q48" s="32">
        <v>2</v>
      </c>
      <c r="R48" s="152">
        <v>1</v>
      </c>
      <c r="S48" s="152"/>
      <c r="T48" s="152"/>
    </row>
    <row r="49" spans="3:20" ht="16.5" thickTop="1">
      <c r="C49" s="7">
        <f aca="true" t="shared" si="5" ref="C49:L49">SUM(C32:C48)</f>
        <v>0</v>
      </c>
      <c r="D49" s="7">
        <f t="shared" si="5"/>
        <v>3003</v>
      </c>
      <c r="E49" s="7">
        <f>SUM(E32:E46)</f>
        <v>5029</v>
      </c>
      <c r="F49" s="7">
        <f t="shared" si="5"/>
        <v>3891</v>
      </c>
      <c r="G49" s="7">
        <f t="shared" si="5"/>
        <v>6063</v>
      </c>
      <c r="H49" s="7">
        <f>SUM(H32:H46)</f>
        <v>5619</v>
      </c>
      <c r="I49" s="7">
        <f t="shared" si="5"/>
        <v>6212</v>
      </c>
      <c r="J49" s="7">
        <f t="shared" si="5"/>
        <v>4532</v>
      </c>
      <c r="K49" s="7">
        <f t="shared" si="5"/>
        <v>6082</v>
      </c>
      <c r="L49" s="7">
        <f t="shared" si="5"/>
        <v>0</v>
      </c>
      <c r="N49" s="1">
        <f>SUM(N32:N48)</f>
        <v>66</v>
      </c>
      <c r="O49" s="1">
        <f>SUM(O32:O48)</f>
        <v>62</v>
      </c>
      <c r="P49" s="1">
        <f>SUM(P32:P48)</f>
        <v>183</v>
      </c>
      <c r="Q49" s="1">
        <f>SUM(Q32:Q48)</f>
        <v>16</v>
      </c>
      <c r="R49" s="1">
        <f>SUM(R32:R48)+R23</f>
        <v>16</v>
      </c>
      <c r="S49" s="1">
        <f>SUM(S32:S48)+S23</f>
        <v>1</v>
      </c>
      <c r="T49" s="1">
        <f>SUM(T32:T48)+T23</f>
        <v>15</v>
      </c>
    </row>
    <row r="50" spans="2:12" ht="15.75">
      <c r="B50" s="57" t="s">
        <v>232</v>
      </c>
      <c r="C50" s="1">
        <f>COUNT(C32:C48)</f>
        <v>0</v>
      </c>
      <c r="D50" s="1">
        <f aca="true" t="shared" si="6" ref="D50:L50">COUNT(D32:D48)</f>
        <v>7</v>
      </c>
      <c r="E50" s="1">
        <f>COUNT(E32:E46)</f>
        <v>12</v>
      </c>
      <c r="F50" s="1">
        <f t="shared" si="6"/>
        <v>9</v>
      </c>
      <c r="G50" s="1">
        <f t="shared" si="6"/>
        <v>14</v>
      </c>
      <c r="H50" s="1">
        <f>COUNT(H32:H46)</f>
        <v>13</v>
      </c>
      <c r="I50" s="1">
        <f t="shared" si="6"/>
        <v>14</v>
      </c>
      <c r="J50" s="1">
        <f t="shared" si="6"/>
        <v>11</v>
      </c>
      <c r="K50" s="1">
        <f t="shared" si="6"/>
        <v>14</v>
      </c>
      <c r="L50" s="1">
        <f t="shared" si="6"/>
        <v>0</v>
      </c>
    </row>
    <row r="51" spans="2:20" ht="31.5">
      <c r="B51" s="11" t="s">
        <v>228</v>
      </c>
      <c r="C51" s="16"/>
      <c r="D51" s="16">
        <f aca="true" t="shared" si="7" ref="D51:K51">D49/D50</f>
        <v>429</v>
      </c>
      <c r="E51" s="16">
        <f t="shared" si="7"/>
        <v>419.0833333333333</v>
      </c>
      <c r="F51" s="16">
        <f t="shared" si="7"/>
        <v>432.3333333333333</v>
      </c>
      <c r="G51" s="16">
        <f t="shared" si="7"/>
        <v>433.07142857142856</v>
      </c>
      <c r="H51" s="16">
        <f t="shared" si="7"/>
        <v>432.2307692307692</v>
      </c>
      <c r="I51" s="16">
        <f t="shared" si="7"/>
        <v>443.7142857142857</v>
      </c>
      <c r="J51" s="16">
        <f t="shared" si="7"/>
        <v>412</v>
      </c>
      <c r="K51" s="16">
        <f t="shared" si="7"/>
        <v>434.42857142857144</v>
      </c>
      <c r="L51" s="16"/>
      <c r="M51" s="3" t="s">
        <v>29</v>
      </c>
      <c r="N51" s="461" t="s">
        <v>109</v>
      </c>
      <c r="O51" s="461"/>
      <c r="P51" s="3" t="s">
        <v>30</v>
      </c>
      <c r="Q51" s="10" t="s">
        <v>110</v>
      </c>
      <c r="S51" s="63" t="s">
        <v>118</v>
      </c>
      <c r="T51" s="63" t="s">
        <v>209</v>
      </c>
    </row>
    <row r="52" spans="11:20" ht="15.75">
      <c r="K52" s="16"/>
      <c r="M52" s="6">
        <f>SUM(M32:M48)+M26</f>
        <v>81929</v>
      </c>
      <c r="N52" s="6">
        <f>SUM(N32:N48)+N26</f>
        <v>130</v>
      </c>
      <c r="O52" s="6">
        <f>SUM(O32:O48)+O26</f>
        <v>126</v>
      </c>
      <c r="P52" s="6">
        <f>SUM(P32:P48)+P26</f>
        <v>363</v>
      </c>
      <c r="Q52" s="6">
        <f>SUM(Q32:Q48)+Q26</f>
        <v>33</v>
      </c>
      <c r="S52" s="2">
        <f>N52-O52</f>
        <v>4</v>
      </c>
      <c r="T52" s="2">
        <f>SUM(R49:T49)</f>
        <v>32</v>
      </c>
    </row>
    <row r="54" spans="13:14" ht="15.75">
      <c r="M54" s="1" t="s">
        <v>120</v>
      </c>
      <c r="N54" s="18">
        <f>M52/T52</f>
        <v>2560.28125</v>
      </c>
    </row>
  </sheetData>
  <sheetProtection/>
  <mergeCells count="9">
    <mergeCell ref="N51:O51"/>
    <mergeCell ref="F1:G1"/>
    <mergeCell ref="G28:I28"/>
    <mergeCell ref="J28:L28"/>
    <mergeCell ref="I1:J1"/>
    <mergeCell ref="C4:L4"/>
    <mergeCell ref="N4:O4"/>
    <mergeCell ref="C28:E28"/>
    <mergeCell ref="N25:O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T54"/>
  <sheetViews>
    <sheetView zoomScale="90" zoomScaleNormal="90" zoomScalePageLayoutView="0" workbookViewId="0" topLeftCell="A25">
      <selection activeCell="C48" sqref="C48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4" width="9.125" style="1" customWidth="1"/>
    <col min="5" max="5" width="10.75390625" style="1" customWidth="1"/>
    <col min="6" max="7" width="9.125" style="1" customWidth="1"/>
    <col min="8" max="8" width="11.375" style="1" customWidth="1"/>
    <col min="9" max="9" width="9.125" style="1" customWidth="1"/>
    <col min="10" max="11" width="10.875" style="1" customWidth="1"/>
    <col min="12" max="12" width="16.875" style="1" customWidth="1"/>
    <col min="13" max="13" width="9.875" style="1" customWidth="1"/>
    <col min="14" max="14" width="10.375" style="1" customWidth="1"/>
    <col min="15" max="15" width="13.375" style="1" customWidth="1"/>
    <col min="16" max="16" width="10.875" style="1" customWidth="1"/>
    <col min="18" max="18" width="11.75390625" style="0" customWidth="1"/>
    <col min="19" max="19" width="12.25390625" style="0" customWidth="1"/>
  </cols>
  <sheetData>
    <row r="1" spans="1:15" ht="15.75">
      <c r="A1" s="48" t="s">
        <v>133</v>
      </c>
      <c r="B1" s="49"/>
      <c r="C1" s="49" t="s">
        <v>188</v>
      </c>
      <c r="D1" s="49" t="s">
        <v>137</v>
      </c>
      <c r="E1" s="50" t="s">
        <v>132</v>
      </c>
      <c r="F1" s="52"/>
      <c r="G1" s="52"/>
      <c r="I1" s="455" t="s">
        <v>143</v>
      </c>
      <c r="J1" s="455"/>
      <c r="K1" s="11" t="s">
        <v>144</v>
      </c>
      <c r="L1" s="197" t="s">
        <v>118</v>
      </c>
      <c r="N1" s="122" t="s">
        <v>120</v>
      </c>
      <c r="O1" s="18">
        <f>L26/S26</f>
        <v>2539</v>
      </c>
    </row>
    <row r="2" spans="9:15" ht="15.75">
      <c r="I2" s="1">
        <f>M26+M49</f>
        <v>132</v>
      </c>
      <c r="J2" s="1">
        <f>N26+N49</f>
        <v>124</v>
      </c>
      <c r="K2" s="1">
        <f>P26+P49</f>
        <v>33</v>
      </c>
      <c r="L2" s="1">
        <f>I2-J2</f>
        <v>8</v>
      </c>
      <c r="N2" s="122" t="s">
        <v>216</v>
      </c>
      <c r="O2" s="6">
        <f>L9+L11+L13+L16+L18+L20+L22+L32+L33+L35+L37+L39+L41+L43+L45+L47</f>
        <v>40556</v>
      </c>
    </row>
    <row r="4" spans="3:19" ht="15.75">
      <c r="C4" s="461" t="s">
        <v>26</v>
      </c>
      <c r="D4" s="461"/>
      <c r="E4" s="461"/>
      <c r="F4" s="461"/>
      <c r="G4" s="461"/>
      <c r="H4" s="461"/>
      <c r="I4" s="461"/>
      <c r="J4" s="461"/>
      <c r="K4" s="461"/>
      <c r="M4" s="461" t="s">
        <v>27</v>
      </c>
      <c r="N4" s="461"/>
      <c r="Q4" s="2"/>
      <c r="R4" s="2"/>
      <c r="S4" s="2"/>
    </row>
    <row r="5" spans="2:19" ht="48" thickBot="1">
      <c r="B5" s="3" t="s">
        <v>24</v>
      </c>
      <c r="C5" s="8" t="s">
        <v>107</v>
      </c>
      <c r="D5" s="8" t="s">
        <v>64</v>
      </c>
      <c r="E5" s="8" t="s">
        <v>33</v>
      </c>
      <c r="F5" s="8" t="s">
        <v>161</v>
      </c>
      <c r="G5" s="8" t="s">
        <v>291</v>
      </c>
      <c r="H5" s="8" t="s">
        <v>236</v>
      </c>
      <c r="I5" s="8" t="s">
        <v>66</v>
      </c>
      <c r="J5" s="8" t="s">
        <v>114</v>
      </c>
      <c r="K5" s="8" t="s">
        <v>165</v>
      </c>
      <c r="L5" s="11" t="s">
        <v>29</v>
      </c>
      <c r="M5" s="11" t="s">
        <v>195</v>
      </c>
      <c r="N5" s="11" t="s">
        <v>28</v>
      </c>
      <c r="O5" s="11" t="s">
        <v>30</v>
      </c>
      <c r="P5" s="10" t="s">
        <v>108</v>
      </c>
      <c r="Q5" s="2" t="s">
        <v>174</v>
      </c>
      <c r="R5" s="2" t="s">
        <v>175</v>
      </c>
      <c r="S5" s="2" t="s">
        <v>176</v>
      </c>
    </row>
    <row r="6" spans="1:19" s="23" customFormat="1" ht="15.75">
      <c r="A6" s="19" t="s">
        <v>0</v>
      </c>
      <c r="B6" s="102" t="s">
        <v>241</v>
      </c>
      <c r="C6" s="34">
        <v>425</v>
      </c>
      <c r="D6" s="250">
        <v>434</v>
      </c>
      <c r="E6" s="201">
        <v>451</v>
      </c>
      <c r="F6" s="201">
        <v>460</v>
      </c>
      <c r="G6" s="95"/>
      <c r="H6" s="95">
        <v>423</v>
      </c>
      <c r="I6" s="95"/>
      <c r="J6" s="34">
        <v>427</v>
      </c>
      <c r="K6" s="172"/>
      <c r="L6" s="102">
        <f>SUM(C6:K6)</f>
        <v>2620</v>
      </c>
      <c r="M6" s="19">
        <v>5</v>
      </c>
      <c r="N6" s="19">
        <v>3</v>
      </c>
      <c r="O6" s="19">
        <v>56</v>
      </c>
      <c r="P6" s="19">
        <v>2</v>
      </c>
      <c r="Q6" s="22">
        <v>1</v>
      </c>
      <c r="R6" s="22"/>
      <c r="S6" s="22"/>
    </row>
    <row r="7" spans="1:20" s="148" customFormat="1" ht="15.75">
      <c r="A7" s="145" t="s">
        <v>1</v>
      </c>
      <c r="B7" s="147" t="s">
        <v>234</v>
      </c>
      <c r="C7" s="173"/>
      <c r="D7" s="173"/>
      <c r="E7" s="173"/>
      <c r="F7" s="173"/>
      <c r="G7" s="173"/>
      <c r="H7" s="173"/>
      <c r="I7" s="173"/>
      <c r="J7" s="173"/>
      <c r="K7" s="199"/>
      <c r="L7" s="147" t="s">
        <v>234</v>
      </c>
      <c r="M7" s="129"/>
      <c r="N7" s="129"/>
      <c r="O7" s="198"/>
      <c r="P7" s="129"/>
      <c r="Q7" s="130"/>
      <c r="R7" s="130"/>
      <c r="S7" s="130"/>
      <c r="T7" s="23"/>
    </row>
    <row r="8" spans="1:17" s="102" customFormat="1" ht="15.75">
      <c r="A8" s="102" t="s">
        <v>2</v>
      </c>
      <c r="B8" s="34" t="s">
        <v>242</v>
      </c>
      <c r="C8" s="250">
        <v>458</v>
      </c>
      <c r="D8" s="34">
        <v>414</v>
      </c>
      <c r="E8" s="250">
        <v>450</v>
      </c>
      <c r="F8" s="34"/>
      <c r="G8" s="34"/>
      <c r="H8" s="250">
        <v>449</v>
      </c>
      <c r="I8" s="250">
        <v>431</v>
      </c>
      <c r="J8" s="34">
        <v>416</v>
      </c>
      <c r="K8" s="30"/>
      <c r="L8" s="102">
        <f aca="true" t="shared" si="0" ref="L8:L22">SUM(C8:K8)</f>
        <v>2618</v>
      </c>
      <c r="M8" s="102">
        <v>6</v>
      </c>
      <c r="N8" s="102">
        <v>2</v>
      </c>
      <c r="O8" s="102">
        <v>93</v>
      </c>
      <c r="P8" s="102">
        <v>2</v>
      </c>
      <c r="Q8" s="102">
        <v>1</v>
      </c>
    </row>
    <row r="9" spans="1:19" s="47" customFormat="1" ht="15.75">
      <c r="A9" s="47" t="s">
        <v>3</v>
      </c>
      <c r="B9" s="47" t="s">
        <v>194</v>
      </c>
      <c r="D9" s="35">
        <v>416</v>
      </c>
      <c r="E9" s="35">
        <v>403</v>
      </c>
      <c r="F9" s="202">
        <v>442</v>
      </c>
      <c r="G9" s="35"/>
      <c r="H9" s="202">
        <v>466</v>
      </c>
      <c r="I9" s="35">
        <v>370</v>
      </c>
      <c r="J9" s="35">
        <v>412</v>
      </c>
      <c r="K9" s="33"/>
      <c r="L9" s="47">
        <f t="shared" si="0"/>
        <v>2509</v>
      </c>
      <c r="M9" s="47">
        <v>2</v>
      </c>
      <c r="N9" s="47">
        <v>6</v>
      </c>
      <c r="O9" s="245">
        <v>-77</v>
      </c>
      <c r="P9" s="47">
        <v>0</v>
      </c>
      <c r="S9" s="47">
        <v>1</v>
      </c>
    </row>
    <row r="10" spans="1:18" s="96" customFormat="1" ht="15.75">
      <c r="A10" s="96" t="s">
        <v>4</v>
      </c>
      <c r="B10" s="95" t="s">
        <v>238</v>
      </c>
      <c r="C10" s="96">
        <v>430</v>
      </c>
      <c r="D10" s="95">
        <v>427</v>
      </c>
      <c r="E10" s="95">
        <v>416</v>
      </c>
      <c r="F10" s="95">
        <v>430</v>
      </c>
      <c r="G10" s="95"/>
      <c r="H10" s="201">
        <v>450</v>
      </c>
      <c r="I10" s="95"/>
      <c r="J10" s="201">
        <v>447</v>
      </c>
      <c r="K10" s="111"/>
      <c r="L10" s="96">
        <f>SUM(C10:K10)</f>
        <v>2600</v>
      </c>
      <c r="M10" s="96">
        <v>4</v>
      </c>
      <c r="N10" s="96">
        <v>4</v>
      </c>
      <c r="O10" s="96">
        <v>20</v>
      </c>
      <c r="P10" s="96">
        <v>1</v>
      </c>
      <c r="R10" s="96">
        <v>1</v>
      </c>
    </row>
    <row r="11" spans="1:19" s="282" customFormat="1" ht="15.75">
      <c r="A11" s="282" t="s">
        <v>5</v>
      </c>
      <c r="B11" s="282" t="s">
        <v>15</v>
      </c>
      <c r="C11" s="330">
        <v>431</v>
      </c>
      <c r="D11" s="330">
        <v>427</v>
      </c>
      <c r="E11" s="155">
        <v>390</v>
      </c>
      <c r="F11" s="330">
        <v>437</v>
      </c>
      <c r="G11" s="155"/>
      <c r="H11" s="155">
        <v>426</v>
      </c>
      <c r="I11" s="155"/>
      <c r="J11" s="155">
        <v>411</v>
      </c>
      <c r="K11" s="283"/>
      <c r="L11" s="282">
        <f t="shared" si="0"/>
        <v>2522</v>
      </c>
      <c r="M11" s="282">
        <v>3</v>
      </c>
      <c r="N11" s="282">
        <v>5</v>
      </c>
      <c r="O11" s="284">
        <v>-62</v>
      </c>
      <c r="P11" s="282">
        <v>0</v>
      </c>
      <c r="S11" s="282">
        <v>1</v>
      </c>
    </row>
    <row r="12" spans="1:17" s="285" customFormat="1" ht="15.75">
      <c r="A12" s="285" t="s">
        <v>6</v>
      </c>
      <c r="B12" s="184" t="s">
        <v>21</v>
      </c>
      <c r="C12" s="339">
        <v>471</v>
      </c>
      <c r="D12" s="184">
        <v>424</v>
      </c>
      <c r="E12" s="184"/>
      <c r="F12" s="184"/>
      <c r="G12" s="184">
        <v>386</v>
      </c>
      <c r="H12" s="184"/>
      <c r="I12" s="339">
        <v>450</v>
      </c>
      <c r="J12" s="339">
        <v>431</v>
      </c>
      <c r="K12" s="340">
        <v>429</v>
      </c>
      <c r="L12" s="285">
        <f t="shared" si="0"/>
        <v>2591</v>
      </c>
      <c r="M12" s="285">
        <v>6</v>
      </c>
      <c r="N12" s="285">
        <v>2</v>
      </c>
      <c r="O12" s="287">
        <v>149</v>
      </c>
      <c r="P12" s="285">
        <v>2</v>
      </c>
      <c r="Q12" s="285">
        <v>1</v>
      </c>
    </row>
    <row r="13" spans="1:17" s="225" customFormat="1" ht="15.75">
      <c r="A13" s="225" t="s">
        <v>7</v>
      </c>
      <c r="B13" s="226" t="s">
        <v>20</v>
      </c>
      <c r="C13" s="225">
        <v>416</v>
      </c>
      <c r="D13" s="251">
        <v>435</v>
      </c>
      <c r="E13" s="251">
        <v>436</v>
      </c>
      <c r="F13" s="251">
        <v>436</v>
      </c>
      <c r="G13" s="226"/>
      <c r="H13" s="226"/>
      <c r="I13" s="226">
        <v>404</v>
      </c>
      <c r="J13" s="251">
        <v>467</v>
      </c>
      <c r="K13" s="228"/>
      <c r="L13" s="225">
        <f t="shared" si="0"/>
        <v>2594</v>
      </c>
      <c r="M13" s="225">
        <v>6</v>
      </c>
      <c r="N13" s="225">
        <v>2</v>
      </c>
      <c r="O13" s="225">
        <v>32</v>
      </c>
      <c r="P13" s="225">
        <v>2</v>
      </c>
      <c r="Q13" s="225">
        <v>1</v>
      </c>
    </row>
    <row r="14" spans="1:19" s="288" customFormat="1" ht="15.75">
      <c r="A14" s="288" t="s">
        <v>8</v>
      </c>
      <c r="B14" s="288" t="s">
        <v>22</v>
      </c>
      <c r="C14" s="288">
        <v>430</v>
      </c>
      <c r="D14" s="344">
        <v>434</v>
      </c>
      <c r="E14" s="288">
        <v>428</v>
      </c>
      <c r="F14" s="344">
        <v>439</v>
      </c>
      <c r="H14" s="288">
        <v>418</v>
      </c>
      <c r="J14" s="344">
        <v>447</v>
      </c>
      <c r="K14" s="289"/>
      <c r="L14" s="288">
        <f t="shared" si="0"/>
        <v>2596</v>
      </c>
      <c r="M14" s="288">
        <v>3</v>
      </c>
      <c r="N14" s="288">
        <v>5</v>
      </c>
      <c r="O14" s="288">
        <v>-13</v>
      </c>
      <c r="P14" s="288">
        <v>0</v>
      </c>
      <c r="S14" s="288">
        <v>1</v>
      </c>
    </row>
    <row r="15" spans="1:19" s="288" customFormat="1" ht="15.75">
      <c r="A15" s="288" t="s">
        <v>9</v>
      </c>
      <c r="B15" s="288" t="s">
        <v>25</v>
      </c>
      <c r="C15" s="344">
        <v>433</v>
      </c>
      <c r="D15" s="254">
        <v>427</v>
      </c>
      <c r="E15" s="254">
        <v>420</v>
      </c>
      <c r="F15" s="254">
        <v>415</v>
      </c>
      <c r="G15" s="254"/>
      <c r="H15" s="344">
        <v>431</v>
      </c>
      <c r="I15" s="254"/>
      <c r="J15" s="344">
        <v>429</v>
      </c>
      <c r="K15" s="255"/>
      <c r="L15" s="288">
        <f t="shared" si="0"/>
        <v>2555</v>
      </c>
      <c r="M15" s="288">
        <v>3</v>
      </c>
      <c r="N15" s="288">
        <v>5</v>
      </c>
      <c r="O15" s="290">
        <v>-20</v>
      </c>
      <c r="P15" s="288">
        <v>0</v>
      </c>
      <c r="S15" s="288">
        <v>1</v>
      </c>
    </row>
    <row r="16" spans="1:17" s="256" customFormat="1" ht="15.75">
      <c r="A16" s="256" t="s">
        <v>10</v>
      </c>
      <c r="B16" s="257" t="s">
        <v>196</v>
      </c>
      <c r="C16" s="346">
        <v>419</v>
      </c>
      <c r="D16" s="346">
        <v>415</v>
      </c>
      <c r="E16" s="257">
        <v>358</v>
      </c>
      <c r="F16" s="257"/>
      <c r="G16" s="257"/>
      <c r="H16" s="346">
        <v>423</v>
      </c>
      <c r="I16" s="346">
        <v>407</v>
      </c>
      <c r="J16" s="257">
        <v>385</v>
      </c>
      <c r="K16" s="258"/>
      <c r="L16" s="256">
        <f t="shared" si="0"/>
        <v>2407</v>
      </c>
      <c r="M16" s="256">
        <v>6</v>
      </c>
      <c r="N16" s="256">
        <v>2</v>
      </c>
      <c r="O16" s="294">
        <f>L16-2353</f>
        <v>54</v>
      </c>
      <c r="P16" s="256">
        <v>2</v>
      </c>
      <c r="Q16" s="256">
        <v>1</v>
      </c>
    </row>
    <row r="17" spans="1:19" s="102" customFormat="1" ht="15.75">
      <c r="A17" s="102" t="s">
        <v>11</v>
      </c>
      <c r="B17" s="34" t="s">
        <v>192</v>
      </c>
      <c r="C17" s="250">
        <v>453</v>
      </c>
      <c r="D17" s="36">
        <v>407</v>
      </c>
      <c r="E17" s="34">
        <v>407</v>
      </c>
      <c r="F17" s="34"/>
      <c r="G17" s="34"/>
      <c r="H17" s="261">
        <v>431</v>
      </c>
      <c r="I17" s="34">
        <v>383</v>
      </c>
      <c r="J17" s="261">
        <v>434</v>
      </c>
      <c r="K17" s="30"/>
      <c r="L17" s="102">
        <f t="shared" si="0"/>
        <v>2515</v>
      </c>
      <c r="M17" s="102">
        <v>3</v>
      </c>
      <c r="N17" s="102">
        <v>5</v>
      </c>
      <c r="O17" s="168">
        <v>-6</v>
      </c>
      <c r="P17" s="102">
        <v>0</v>
      </c>
      <c r="S17" s="102">
        <v>1</v>
      </c>
    </row>
    <row r="18" spans="1:19" s="47" customFormat="1" ht="15.75">
      <c r="A18" s="47" t="s">
        <v>12</v>
      </c>
      <c r="B18" s="35" t="s">
        <v>272</v>
      </c>
      <c r="C18" s="47">
        <v>406</v>
      </c>
      <c r="D18" s="35"/>
      <c r="E18" s="202">
        <v>413</v>
      </c>
      <c r="F18" s="35"/>
      <c r="G18" s="35"/>
      <c r="H18" s="202">
        <v>457</v>
      </c>
      <c r="I18" s="35">
        <v>413</v>
      </c>
      <c r="J18" s="35">
        <v>386</v>
      </c>
      <c r="K18" s="33">
        <v>392</v>
      </c>
      <c r="L18" s="47">
        <f>SUM(C18:K18)</f>
        <v>2467</v>
      </c>
      <c r="M18" s="47">
        <v>2</v>
      </c>
      <c r="N18" s="47">
        <v>6</v>
      </c>
      <c r="O18" s="245">
        <v>-75</v>
      </c>
      <c r="P18" s="47">
        <v>0</v>
      </c>
      <c r="S18" s="47">
        <v>1</v>
      </c>
    </row>
    <row r="19" spans="1:19" s="96" customFormat="1" ht="15.75">
      <c r="A19" s="96" t="s">
        <v>13</v>
      </c>
      <c r="B19" s="95" t="s">
        <v>19</v>
      </c>
      <c r="C19" s="201">
        <v>426</v>
      </c>
      <c r="D19" s="201">
        <v>439</v>
      </c>
      <c r="E19" s="95">
        <v>422</v>
      </c>
      <c r="F19" s="95"/>
      <c r="G19" s="95"/>
      <c r="H19" s="201">
        <v>424</v>
      </c>
      <c r="I19" s="95">
        <v>382</v>
      </c>
      <c r="J19" s="95">
        <v>413</v>
      </c>
      <c r="K19" s="111"/>
      <c r="L19" s="96">
        <f>SUM(C19:K19)</f>
        <v>2506</v>
      </c>
      <c r="M19" s="96">
        <v>3</v>
      </c>
      <c r="N19" s="96">
        <v>5</v>
      </c>
      <c r="O19" s="295">
        <v>-45</v>
      </c>
      <c r="P19" s="96">
        <v>0</v>
      </c>
      <c r="S19" s="96">
        <v>1</v>
      </c>
    </row>
    <row r="20" spans="1:19" s="282" customFormat="1" ht="15.75">
      <c r="A20" s="282" t="s">
        <v>14</v>
      </c>
      <c r="B20" s="282" t="s">
        <v>18</v>
      </c>
      <c r="C20" s="282">
        <v>413</v>
      </c>
      <c r="D20" s="155">
        <v>416</v>
      </c>
      <c r="E20" s="155">
        <v>435</v>
      </c>
      <c r="F20" s="155"/>
      <c r="G20" s="155"/>
      <c r="H20" s="330">
        <v>440</v>
      </c>
      <c r="I20" s="155"/>
      <c r="J20" s="155">
        <v>391</v>
      </c>
      <c r="K20" s="283">
        <v>387</v>
      </c>
      <c r="L20" s="282">
        <f t="shared" si="0"/>
        <v>2482</v>
      </c>
      <c r="M20" s="282">
        <v>1</v>
      </c>
      <c r="N20" s="282">
        <v>7</v>
      </c>
      <c r="O20" s="284">
        <v>-250</v>
      </c>
      <c r="P20" s="282">
        <v>0</v>
      </c>
      <c r="S20" s="282">
        <v>1</v>
      </c>
    </row>
    <row r="21" spans="1:19" s="285" customFormat="1" ht="15.75">
      <c r="A21" s="285" t="s">
        <v>239</v>
      </c>
      <c r="B21" s="296" t="s">
        <v>17</v>
      </c>
      <c r="C21" s="285">
        <v>422</v>
      </c>
      <c r="D21" s="184">
        <v>400</v>
      </c>
      <c r="E21" s="339">
        <v>434</v>
      </c>
      <c r="F21" s="184"/>
      <c r="G21" s="184"/>
      <c r="H21" s="339">
        <v>461</v>
      </c>
      <c r="I21" s="184">
        <v>418</v>
      </c>
      <c r="J21" s="184">
        <v>403</v>
      </c>
      <c r="K21" s="286"/>
      <c r="L21" s="285">
        <f t="shared" si="0"/>
        <v>2538</v>
      </c>
      <c r="M21" s="285">
        <v>2</v>
      </c>
      <c r="N21" s="285">
        <v>6</v>
      </c>
      <c r="O21" s="287">
        <v>-110</v>
      </c>
      <c r="P21" s="285">
        <v>0</v>
      </c>
      <c r="S21" s="285">
        <v>1</v>
      </c>
    </row>
    <row r="22" spans="1:19" s="225" customFormat="1" ht="16.5" thickBot="1">
      <c r="A22" s="225" t="s">
        <v>240</v>
      </c>
      <c r="B22" s="225" t="s">
        <v>193</v>
      </c>
      <c r="C22" s="297">
        <v>398</v>
      </c>
      <c r="D22" s="235"/>
      <c r="E22" s="235">
        <v>405</v>
      </c>
      <c r="F22" s="235">
        <v>428</v>
      </c>
      <c r="G22" s="235"/>
      <c r="H22" s="357">
        <v>435</v>
      </c>
      <c r="I22" s="235">
        <v>404</v>
      </c>
      <c r="J22" s="357">
        <v>434</v>
      </c>
      <c r="K22" s="298"/>
      <c r="L22" s="225">
        <f t="shared" si="0"/>
        <v>2504</v>
      </c>
      <c r="M22" s="297">
        <v>2</v>
      </c>
      <c r="N22" s="297">
        <v>6</v>
      </c>
      <c r="O22" s="299">
        <v>-61</v>
      </c>
      <c r="P22" s="297">
        <v>0</v>
      </c>
      <c r="Q22" s="297"/>
      <c r="R22" s="297"/>
      <c r="S22" s="297">
        <v>1</v>
      </c>
    </row>
    <row r="23" spans="3:19" ht="16.5" thickTop="1">
      <c r="C23" s="6">
        <f aca="true" t="shared" si="1" ref="C23:J23">SUM(C6:C22)</f>
        <v>6431</v>
      </c>
      <c r="D23" s="6">
        <f t="shared" si="1"/>
        <v>5915</v>
      </c>
      <c r="E23" s="6">
        <f t="shared" si="1"/>
        <v>6268</v>
      </c>
      <c r="F23" s="6">
        <f t="shared" si="1"/>
        <v>3487</v>
      </c>
      <c r="G23" s="6">
        <f t="shared" si="1"/>
        <v>386</v>
      </c>
      <c r="H23" s="6">
        <f t="shared" si="1"/>
        <v>6134</v>
      </c>
      <c r="I23" s="6">
        <f t="shared" si="1"/>
        <v>4062</v>
      </c>
      <c r="J23" s="6">
        <f t="shared" si="1"/>
        <v>6733</v>
      </c>
      <c r="K23" s="6">
        <f>SUM(K6:K22)</f>
        <v>1208</v>
      </c>
      <c r="M23" s="2">
        <f aca="true" t="shared" si="2" ref="M23:S23">SUM(M6:M22)</f>
        <v>57</v>
      </c>
      <c r="N23" s="2">
        <f t="shared" si="2"/>
        <v>71</v>
      </c>
      <c r="O23" s="2">
        <f t="shared" si="2"/>
        <v>-315</v>
      </c>
      <c r="P23" s="2">
        <f t="shared" si="2"/>
        <v>11</v>
      </c>
      <c r="Q23" s="2">
        <f t="shared" si="2"/>
        <v>5</v>
      </c>
      <c r="R23" s="2">
        <f t="shared" si="2"/>
        <v>1</v>
      </c>
      <c r="S23" s="2">
        <f t="shared" si="2"/>
        <v>10</v>
      </c>
    </row>
    <row r="24" spans="2:11" ht="15.75">
      <c r="B24" s="1" t="s">
        <v>211</v>
      </c>
      <c r="C24" s="6">
        <f>COUNT(C6:C22)</f>
        <v>15</v>
      </c>
      <c r="D24" s="6">
        <f aca="true" t="shared" si="3" ref="D24:J24">COUNT(D6:D22)</f>
        <v>14</v>
      </c>
      <c r="E24" s="6">
        <f t="shared" si="3"/>
        <v>15</v>
      </c>
      <c r="F24" s="6">
        <f t="shared" si="3"/>
        <v>8</v>
      </c>
      <c r="G24" s="6">
        <f t="shared" si="3"/>
        <v>1</v>
      </c>
      <c r="H24" s="6">
        <f t="shared" si="3"/>
        <v>14</v>
      </c>
      <c r="I24" s="6">
        <f t="shared" si="3"/>
        <v>10</v>
      </c>
      <c r="J24" s="6">
        <f t="shared" si="3"/>
        <v>16</v>
      </c>
      <c r="K24" s="6">
        <f>COUNT(K6:K22)</f>
        <v>3</v>
      </c>
    </row>
    <row r="25" spans="2:19" ht="33" customHeight="1">
      <c r="B25" s="11" t="s">
        <v>119</v>
      </c>
      <c r="C25" s="16">
        <f>AVERAGE(C6:C22)</f>
        <v>428.73333333333335</v>
      </c>
      <c r="D25" s="16">
        <f aca="true" t="shared" si="4" ref="D25:K25">AVERAGE(D6:D22)</f>
        <v>422.5</v>
      </c>
      <c r="E25" s="16">
        <f t="shared" si="4"/>
        <v>417.8666666666667</v>
      </c>
      <c r="F25" s="16">
        <f>AVERAGE(F6:F22)</f>
        <v>435.875</v>
      </c>
      <c r="G25" s="16">
        <f>AVERAGE(G6:G22)</f>
        <v>386</v>
      </c>
      <c r="H25" s="16">
        <f t="shared" si="4"/>
        <v>438.14285714285717</v>
      </c>
      <c r="I25" s="16">
        <f t="shared" si="4"/>
        <v>406.2</v>
      </c>
      <c r="J25" s="16">
        <f t="shared" si="4"/>
        <v>420.8125</v>
      </c>
      <c r="K25" s="16">
        <f t="shared" si="4"/>
        <v>402.6666666666667</v>
      </c>
      <c r="L25" s="3" t="s">
        <v>29</v>
      </c>
      <c r="M25" s="461" t="s">
        <v>109</v>
      </c>
      <c r="N25" s="461"/>
      <c r="O25" s="3" t="s">
        <v>30</v>
      </c>
      <c r="P25" s="10" t="s">
        <v>110</v>
      </c>
      <c r="R25" s="63" t="s">
        <v>118</v>
      </c>
      <c r="S25" s="63" t="s">
        <v>209</v>
      </c>
    </row>
    <row r="26" spans="12:19" ht="15.75">
      <c r="L26" s="6">
        <f>SUM(L6:L22)</f>
        <v>40624</v>
      </c>
      <c r="M26" s="1">
        <f>SUM(M6:M22)</f>
        <v>57</v>
      </c>
      <c r="N26" s="1">
        <f>SUM(N6:N22)</f>
        <v>71</v>
      </c>
      <c r="O26" s="1">
        <f>SUM(O6:O22)</f>
        <v>-315</v>
      </c>
      <c r="P26" s="1">
        <f>SUM(P6:P22)</f>
        <v>11</v>
      </c>
      <c r="R26" s="2">
        <f>M26-N26</f>
        <v>-14</v>
      </c>
      <c r="S26" s="2">
        <f>SUM(Q23:S23)</f>
        <v>16</v>
      </c>
    </row>
    <row r="28" spans="3:11" ht="15.75">
      <c r="C28" s="467" t="s">
        <v>37</v>
      </c>
      <c r="D28" s="467"/>
      <c r="F28" s="458" t="s">
        <v>124</v>
      </c>
      <c r="G28" s="458"/>
      <c r="H28" s="458"/>
      <c r="J28" s="462" t="s">
        <v>125</v>
      </c>
      <c r="K28" s="462"/>
    </row>
    <row r="29" spans="1:19" ht="16.5" thickBo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123"/>
      <c r="R29" s="123"/>
      <c r="S29" s="123"/>
    </row>
    <row r="30" spans="6:14" ht="15.75">
      <c r="F30" s="40"/>
      <c r="G30" s="40"/>
      <c r="M30" s="461"/>
      <c r="N30" s="461"/>
    </row>
    <row r="31" spans="2:19" ht="48" thickBot="1">
      <c r="B31" s="181"/>
      <c r="C31" s="8" t="s">
        <v>107</v>
      </c>
      <c r="D31" s="8" t="s">
        <v>64</v>
      </c>
      <c r="E31" s="8" t="s">
        <v>33</v>
      </c>
      <c r="F31" s="8" t="s">
        <v>161</v>
      </c>
      <c r="G31" s="8" t="s">
        <v>291</v>
      </c>
      <c r="H31" s="8" t="s">
        <v>236</v>
      </c>
      <c r="I31" s="8" t="s">
        <v>66</v>
      </c>
      <c r="J31" s="8" t="s">
        <v>114</v>
      </c>
      <c r="K31" s="8" t="s">
        <v>165</v>
      </c>
      <c r="L31" s="11" t="s">
        <v>29</v>
      </c>
      <c r="M31" s="11" t="s">
        <v>195</v>
      </c>
      <c r="N31" s="11" t="s">
        <v>28</v>
      </c>
      <c r="O31" s="11" t="s">
        <v>30</v>
      </c>
      <c r="P31" s="10" t="s">
        <v>108</v>
      </c>
      <c r="Q31" s="2" t="s">
        <v>174</v>
      </c>
      <c r="R31" s="2" t="s">
        <v>175</v>
      </c>
      <c r="S31" s="2" t="s">
        <v>176</v>
      </c>
    </row>
    <row r="32" spans="1:19" s="231" customFormat="1" ht="15.75">
      <c r="A32" s="25" t="s">
        <v>145</v>
      </c>
      <c r="B32" s="47" t="s">
        <v>22</v>
      </c>
      <c r="C32" s="202">
        <v>432</v>
      </c>
      <c r="D32" s="35">
        <v>378</v>
      </c>
      <c r="E32" s="35"/>
      <c r="F32" s="202">
        <v>408</v>
      </c>
      <c r="G32" s="35"/>
      <c r="H32" s="202">
        <v>419</v>
      </c>
      <c r="I32" s="35">
        <v>363</v>
      </c>
      <c r="J32" s="35">
        <v>403</v>
      </c>
      <c r="K32" s="93"/>
      <c r="L32" s="388">
        <f>SUM(C32:K32)</f>
        <v>2403</v>
      </c>
      <c r="M32" s="193">
        <v>3</v>
      </c>
      <c r="N32" s="193">
        <v>5</v>
      </c>
      <c r="O32" s="193">
        <v>-160</v>
      </c>
      <c r="P32" s="193">
        <v>0</v>
      </c>
      <c r="S32" s="231">
        <v>1</v>
      </c>
    </row>
    <row r="33" spans="1:17" s="231" customFormat="1" ht="15.75">
      <c r="A33" s="25" t="s">
        <v>146</v>
      </c>
      <c r="B33" s="47" t="s">
        <v>25</v>
      </c>
      <c r="C33" s="202">
        <v>446</v>
      </c>
      <c r="D33" s="202">
        <v>445</v>
      </c>
      <c r="E33" s="202">
        <v>464</v>
      </c>
      <c r="F33" s="35">
        <v>430</v>
      </c>
      <c r="G33" s="35"/>
      <c r="H33" s="35">
        <v>429</v>
      </c>
      <c r="I33" s="35"/>
      <c r="J33" s="35">
        <v>405</v>
      </c>
      <c r="K33" s="93"/>
      <c r="L33" s="388">
        <f aca="true" t="shared" si="5" ref="L33:L48">SUM(C33:K33)</f>
        <v>2619</v>
      </c>
      <c r="M33" s="193">
        <v>5</v>
      </c>
      <c r="N33" s="193">
        <v>3</v>
      </c>
      <c r="O33" s="193">
        <v>24</v>
      </c>
      <c r="P33" s="193">
        <v>2</v>
      </c>
      <c r="Q33" s="231">
        <v>1</v>
      </c>
    </row>
    <row r="34" spans="1:17" s="211" customFormat="1" ht="15.75">
      <c r="A34" s="83" t="s">
        <v>147</v>
      </c>
      <c r="B34" s="95" t="s">
        <v>196</v>
      </c>
      <c r="C34" s="250">
        <v>463</v>
      </c>
      <c r="D34" s="250">
        <v>438</v>
      </c>
      <c r="E34" s="250">
        <v>442</v>
      </c>
      <c r="F34" s="250">
        <v>439</v>
      </c>
      <c r="G34" s="34"/>
      <c r="H34" s="250">
        <v>436</v>
      </c>
      <c r="I34" s="34"/>
      <c r="J34" s="34">
        <v>396</v>
      </c>
      <c r="K34" s="154"/>
      <c r="L34" s="386">
        <f t="shared" si="5"/>
        <v>2614</v>
      </c>
      <c r="M34" s="204">
        <v>7</v>
      </c>
      <c r="N34" s="204">
        <v>1</v>
      </c>
      <c r="O34" s="204">
        <v>173</v>
      </c>
      <c r="P34" s="204">
        <v>2</v>
      </c>
      <c r="Q34" s="211">
        <v>1</v>
      </c>
    </row>
    <row r="35" spans="1:19" s="231" customFormat="1" ht="15.75">
      <c r="A35" s="25" t="s">
        <v>148</v>
      </c>
      <c r="B35" s="35" t="s">
        <v>192</v>
      </c>
      <c r="C35" s="47">
        <v>407</v>
      </c>
      <c r="D35" s="202">
        <v>457</v>
      </c>
      <c r="E35" s="35">
        <v>415</v>
      </c>
      <c r="F35" s="202">
        <v>437</v>
      </c>
      <c r="G35" s="35"/>
      <c r="H35" s="202">
        <v>432</v>
      </c>
      <c r="I35" s="35"/>
      <c r="J35" s="35">
        <v>414</v>
      </c>
      <c r="K35" s="93"/>
      <c r="L35" s="388">
        <f t="shared" si="5"/>
        <v>2562</v>
      </c>
      <c r="M35" s="193">
        <v>3</v>
      </c>
      <c r="N35" s="193">
        <v>5</v>
      </c>
      <c r="O35" s="193">
        <v>-23</v>
      </c>
      <c r="P35" s="193">
        <v>0</v>
      </c>
      <c r="S35" s="231">
        <v>1</v>
      </c>
    </row>
    <row r="36" spans="1:17" s="23" customFormat="1" ht="15.75">
      <c r="A36" s="204" t="s">
        <v>149</v>
      </c>
      <c r="B36" s="205" t="s">
        <v>272</v>
      </c>
      <c r="C36" s="102">
        <v>401</v>
      </c>
      <c r="D36" s="250">
        <v>414</v>
      </c>
      <c r="E36" s="34">
        <v>412</v>
      </c>
      <c r="F36" s="34">
        <v>411</v>
      </c>
      <c r="G36" s="34"/>
      <c r="H36" s="250">
        <v>443</v>
      </c>
      <c r="I36" s="34"/>
      <c r="J36" s="250">
        <v>419</v>
      </c>
      <c r="K36" s="254"/>
      <c r="L36" s="182">
        <f t="shared" si="5"/>
        <v>2500</v>
      </c>
      <c r="M36" s="19">
        <v>5</v>
      </c>
      <c r="N36" s="19">
        <v>3</v>
      </c>
      <c r="O36" s="19">
        <v>12</v>
      </c>
      <c r="P36" s="19">
        <v>2</v>
      </c>
      <c r="Q36" s="23">
        <v>1</v>
      </c>
    </row>
    <row r="37" spans="1:17" s="231" customFormat="1" ht="15.75">
      <c r="A37" s="25" t="s">
        <v>150</v>
      </c>
      <c r="B37" s="35" t="s">
        <v>19</v>
      </c>
      <c r="C37" s="47">
        <v>401</v>
      </c>
      <c r="D37" s="35">
        <v>411</v>
      </c>
      <c r="E37" s="202">
        <v>446</v>
      </c>
      <c r="F37" s="35">
        <v>404</v>
      </c>
      <c r="G37" s="35"/>
      <c r="H37" s="202">
        <v>465</v>
      </c>
      <c r="I37" s="35"/>
      <c r="J37" s="202">
        <v>418</v>
      </c>
      <c r="K37" s="93"/>
      <c r="L37" s="388">
        <f t="shared" si="5"/>
        <v>2545</v>
      </c>
      <c r="M37" s="193">
        <v>5</v>
      </c>
      <c r="N37" s="193">
        <v>3</v>
      </c>
      <c r="O37" s="193">
        <v>13</v>
      </c>
      <c r="P37" s="193">
        <v>2</v>
      </c>
      <c r="Q37" s="231">
        <v>1</v>
      </c>
    </row>
    <row r="38" spans="1:19" s="106" customFormat="1" ht="15.75">
      <c r="A38" s="19" t="s">
        <v>151</v>
      </c>
      <c r="B38" s="102" t="s">
        <v>18</v>
      </c>
      <c r="C38" s="102">
        <v>421</v>
      </c>
      <c r="D38" s="250">
        <v>437</v>
      </c>
      <c r="E38" s="34">
        <v>407</v>
      </c>
      <c r="F38" s="250">
        <v>429</v>
      </c>
      <c r="G38" s="34"/>
      <c r="H38" s="250">
        <v>442</v>
      </c>
      <c r="I38" s="34"/>
      <c r="J38" s="34">
        <v>428</v>
      </c>
      <c r="K38" s="95"/>
      <c r="L38" s="183">
        <f t="shared" si="5"/>
        <v>2564</v>
      </c>
      <c r="M38" s="103">
        <v>3</v>
      </c>
      <c r="N38" s="103">
        <v>5</v>
      </c>
      <c r="O38" s="103">
        <v>-76</v>
      </c>
      <c r="P38" s="103">
        <v>0</v>
      </c>
      <c r="S38" s="106">
        <v>1</v>
      </c>
    </row>
    <row r="39" spans="1:19" s="231" customFormat="1" ht="15.75">
      <c r="A39" s="25" t="s">
        <v>152</v>
      </c>
      <c r="B39" s="39" t="s">
        <v>17</v>
      </c>
      <c r="C39" s="47">
        <v>403</v>
      </c>
      <c r="D39" s="202">
        <v>453</v>
      </c>
      <c r="E39" s="202">
        <v>440</v>
      </c>
      <c r="F39" s="35">
        <v>420</v>
      </c>
      <c r="G39" s="35"/>
      <c r="H39" s="202">
        <v>451</v>
      </c>
      <c r="I39" s="35"/>
      <c r="J39" s="35">
        <v>415</v>
      </c>
      <c r="K39" s="93"/>
      <c r="L39" s="388">
        <f t="shared" si="5"/>
        <v>2582</v>
      </c>
      <c r="M39" s="193">
        <v>3</v>
      </c>
      <c r="N39" s="193">
        <v>5</v>
      </c>
      <c r="O39" s="193">
        <v>-10</v>
      </c>
      <c r="P39" s="193">
        <v>0</v>
      </c>
      <c r="S39" s="231">
        <v>1</v>
      </c>
    </row>
    <row r="40" spans="1:17" s="211" customFormat="1" ht="15.75">
      <c r="A40" s="83" t="s">
        <v>153</v>
      </c>
      <c r="B40" s="96" t="s">
        <v>193</v>
      </c>
      <c r="C40" s="102"/>
      <c r="D40" s="250">
        <v>447</v>
      </c>
      <c r="E40" s="250">
        <v>446</v>
      </c>
      <c r="F40" s="34"/>
      <c r="G40" s="34"/>
      <c r="H40" s="250">
        <v>428</v>
      </c>
      <c r="I40" s="34">
        <v>413</v>
      </c>
      <c r="J40" s="250">
        <v>427</v>
      </c>
      <c r="K40" s="154">
        <v>370</v>
      </c>
      <c r="L40" s="386">
        <f t="shared" si="5"/>
        <v>2531</v>
      </c>
      <c r="M40" s="204">
        <v>6</v>
      </c>
      <c r="N40" s="204">
        <v>2</v>
      </c>
      <c r="O40" s="204">
        <v>64</v>
      </c>
      <c r="P40" s="204">
        <v>2</v>
      </c>
      <c r="Q40" s="211">
        <v>1</v>
      </c>
    </row>
    <row r="41" spans="1:17" s="231" customFormat="1" ht="15.75">
      <c r="A41" s="25" t="s">
        <v>154</v>
      </c>
      <c r="B41" s="47" t="s">
        <v>241</v>
      </c>
      <c r="C41" s="202">
        <v>462</v>
      </c>
      <c r="D41" s="35">
        <v>442</v>
      </c>
      <c r="E41" s="202">
        <v>471</v>
      </c>
      <c r="F41" s="35">
        <v>439</v>
      </c>
      <c r="G41" s="35"/>
      <c r="H41" s="202">
        <v>456</v>
      </c>
      <c r="I41" s="35"/>
      <c r="J41" s="35">
        <v>436</v>
      </c>
      <c r="K41" s="93"/>
      <c r="L41" s="388">
        <f t="shared" si="5"/>
        <v>2706</v>
      </c>
      <c r="M41" s="193">
        <v>5</v>
      </c>
      <c r="N41" s="193">
        <v>3</v>
      </c>
      <c r="O41" s="193">
        <v>62</v>
      </c>
      <c r="P41" s="193">
        <v>2</v>
      </c>
      <c r="Q41" s="231">
        <v>1</v>
      </c>
    </row>
    <row r="42" spans="1:16" s="148" customFormat="1" ht="15.75">
      <c r="A42" s="145" t="s">
        <v>155</v>
      </c>
      <c r="B42" s="147" t="s">
        <v>234</v>
      </c>
      <c r="C42" s="176"/>
      <c r="D42" s="173"/>
      <c r="E42" s="173"/>
      <c r="F42" s="173"/>
      <c r="G42" s="173"/>
      <c r="H42" s="173"/>
      <c r="I42" s="173"/>
      <c r="J42" s="173"/>
      <c r="K42" s="220"/>
      <c r="L42" s="387" t="s">
        <v>234</v>
      </c>
      <c r="M42" s="368"/>
      <c r="N42" s="368"/>
      <c r="O42" s="368"/>
      <c r="P42" s="368"/>
    </row>
    <row r="43" spans="1:17" s="231" customFormat="1" ht="15.75">
      <c r="A43" s="25" t="s">
        <v>156</v>
      </c>
      <c r="B43" s="35" t="s">
        <v>242</v>
      </c>
      <c r="C43" s="202">
        <v>448</v>
      </c>
      <c r="D43" s="35">
        <v>416</v>
      </c>
      <c r="E43" s="202">
        <v>439</v>
      </c>
      <c r="F43" s="202">
        <v>424</v>
      </c>
      <c r="G43" s="35"/>
      <c r="H43" s="35">
        <v>420</v>
      </c>
      <c r="I43" s="35">
        <v>416</v>
      </c>
      <c r="J43" s="35"/>
      <c r="K43" s="93"/>
      <c r="L43" s="388">
        <f t="shared" si="5"/>
        <v>2563</v>
      </c>
      <c r="M43" s="193">
        <v>5</v>
      </c>
      <c r="N43" s="193">
        <v>3</v>
      </c>
      <c r="O43" s="193">
        <v>20</v>
      </c>
      <c r="P43" s="193">
        <v>2</v>
      </c>
      <c r="Q43" s="231">
        <v>1</v>
      </c>
    </row>
    <row r="44" spans="1:17" s="106" customFormat="1" ht="15.75">
      <c r="A44" s="19" t="s">
        <v>157</v>
      </c>
      <c r="B44" s="102" t="s">
        <v>194</v>
      </c>
      <c r="C44" s="250">
        <v>446</v>
      </c>
      <c r="D44" s="34">
        <v>426</v>
      </c>
      <c r="E44" s="34">
        <v>426</v>
      </c>
      <c r="F44" s="250">
        <v>459</v>
      </c>
      <c r="G44" s="34"/>
      <c r="H44" s="250">
        <v>449</v>
      </c>
      <c r="I44" s="250">
        <v>467</v>
      </c>
      <c r="J44" s="34"/>
      <c r="K44" s="95"/>
      <c r="L44" s="183">
        <f t="shared" si="5"/>
        <v>2673</v>
      </c>
      <c r="M44" s="103">
        <v>6</v>
      </c>
      <c r="N44" s="103">
        <v>2</v>
      </c>
      <c r="O44" s="103">
        <v>54</v>
      </c>
      <c r="P44" s="103">
        <v>2</v>
      </c>
      <c r="Q44" s="106">
        <v>1</v>
      </c>
    </row>
    <row r="45" spans="1:19" s="231" customFormat="1" ht="15.75">
      <c r="A45" s="25" t="s">
        <v>243</v>
      </c>
      <c r="B45" s="35" t="s">
        <v>238</v>
      </c>
      <c r="C45" s="202">
        <v>442</v>
      </c>
      <c r="D45" s="35">
        <v>417</v>
      </c>
      <c r="E45" s="35">
        <v>435</v>
      </c>
      <c r="F45" s="202">
        <v>467</v>
      </c>
      <c r="G45" s="35"/>
      <c r="H45" s="202">
        <v>435</v>
      </c>
      <c r="I45" s="35"/>
      <c r="J45" s="35"/>
      <c r="K45" s="93">
        <v>369</v>
      </c>
      <c r="L45" s="388">
        <f t="shared" si="5"/>
        <v>2565</v>
      </c>
      <c r="M45" s="193">
        <v>3</v>
      </c>
      <c r="N45" s="193">
        <v>5</v>
      </c>
      <c r="O45" s="193">
        <v>-2</v>
      </c>
      <c r="P45" s="193">
        <v>0</v>
      </c>
      <c r="S45" s="231">
        <v>1</v>
      </c>
    </row>
    <row r="46" spans="1:17" s="211" customFormat="1" ht="15.75">
      <c r="A46" s="83" t="s">
        <v>244</v>
      </c>
      <c r="B46" s="96" t="s">
        <v>15</v>
      </c>
      <c r="C46" s="250">
        <v>487</v>
      </c>
      <c r="D46" s="34"/>
      <c r="E46" s="34">
        <v>431</v>
      </c>
      <c r="F46" s="34">
        <v>422</v>
      </c>
      <c r="G46" s="34"/>
      <c r="H46" s="250">
        <v>468</v>
      </c>
      <c r="I46" s="34"/>
      <c r="J46" s="250">
        <v>439</v>
      </c>
      <c r="K46" s="154">
        <v>394</v>
      </c>
      <c r="L46" s="386">
        <f t="shared" si="5"/>
        <v>2641</v>
      </c>
      <c r="M46" s="204">
        <v>5</v>
      </c>
      <c r="N46" s="204">
        <v>3</v>
      </c>
      <c r="O46" s="204">
        <v>63</v>
      </c>
      <c r="P46" s="204">
        <v>2</v>
      </c>
      <c r="Q46" s="211">
        <v>1</v>
      </c>
    </row>
    <row r="47" spans="1:17" s="231" customFormat="1" ht="15.75">
      <c r="A47" s="25" t="s">
        <v>266</v>
      </c>
      <c r="B47" s="35" t="s">
        <v>21</v>
      </c>
      <c r="C47" s="202">
        <v>412</v>
      </c>
      <c r="D47" s="35"/>
      <c r="E47" s="35">
        <v>395</v>
      </c>
      <c r="F47" s="202">
        <v>474</v>
      </c>
      <c r="G47" s="35"/>
      <c r="H47" s="434">
        <v>435</v>
      </c>
      <c r="I47" s="35"/>
      <c r="J47" s="202">
        <v>417</v>
      </c>
      <c r="K47" s="93">
        <v>393</v>
      </c>
      <c r="L47" s="388">
        <f t="shared" si="5"/>
        <v>2526</v>
      </c>
      <c r="M47" s="193">
        <v>6</v>
      </c>
      <c r="N47" s="193">
        <v>2</v>
      </c>
      <c r="O47" s="193">
        <v>82</v>
      </c>
      <c r="P47" s="193">
        <v>2</v>
      </c>
      <c r="Q47" s="231">
        <v>1</v>
      </c>
    </row>
    <row r="48" spans="1:19" s="23" customFormat="1" ht="16.5" thickBot="1">
      <c r="A48" s="204" t="s">
        <v>267</v>
      </c>
      <c r="B48" s="205" t="s">
        <v>20</v>
      </c>
      <c r="C48" s="435">
        <v>449</v>
      </c>
      <c r="D48" s="150">
        <v>421</v>
      </c>
      <c r="E48" s="150">
        <v>439</v>
      </c>
      <c r="F48" s="442">
        <v>455</v>
      </c>
      <c r="G48" s="150"/>
      <c r="H48" s="442">
        <v>499</v>
      </c>
      <c r="I48" s="150"/>
      <c r="J48" s="150">
        <v>418</v>
      </c>
      <c r="K48" s="321"/>
      <c r="L48" s="182">
        <f t="shared" si="5"/>
        <v>2681</v>
      </c>
      <c r="M48" s="24">
        <v>5</v>
      </c>
      <c r="N48" s="24">
        <v>3</v>
      </c>
      <c r="O48" s="24">
        <v>72</v>
      </c>
      <c r="P48" s="24">
        <v>2</v>
      </c>
      <c r="Q48" s="107">
        <v>1</v>
      </c>
      <c r="R48" s="107"/>
      <c r="S48" s="107"/>
    </row>
    <row r="49" spans="3:19" ht="16.5" thickTop="1">
      <c r="C49" s="7">
        <f aca="true" t="shared" si="6" ref="C49:J49">SUM(C32:C48)</f>
        <v>6520</v>
      </c>
      <c r="D49" s="7">
        <f t="shared" si="6"/>
        <v>6002</v>
      </c>
      <c r="E49" s="7">
        <f t="shared" si="6"/>
        <v>6508</v>
      </c>
      <c r="F49" s="7">
        <f t="shared" si="6"/>
        <v>6518</v>
      </c>
      <c r="G49" s="7"/>
      <c r="H49" s="7">
        <f>SUM(H32:H48)</f>
        <v>7107</v>
      </c>
      <c r="I49" s="7">
        <f t="shared" si="6"/>
        <v>1659</v>
      </c>
      <c r="J49" s="7">
        <f t="shared" si="6"/>
        <v>5435</v>
      </c>
      <c r="K49" s="7">
        <f>SUM(K34:K48)</f>
        <v>1526</v>
      </c>
      <c r="M49" s="1">
        <f>SUM(M32:M48)</f>
        <v>75</v>
      </c>
      <c r="N49" s="1">
        <f>SUM(N32:N48)</f>
        <v>53</v>
      </c>
      <c r="O49" s="1">
        <f>SUM(O32:O48)</f>
        <v>368</v>
      </c>
      <c r="P49" s="1">
        <f>SUM(P32:P48)</f>
        <v>22</v>
      </c>
      <c r="Q49" s="1">
        <f>SUM(Q32:Q48)+Q23</f>
        <v>16</v>
      </c>
      <c r="R49" s="1">
        <f>SUM(R32:R48)+R23</f>
        <v>1</v>
      </c>
      <c r="S49" s="1">
        <f>SUM(S32:S48)+S23</f>
        <v>15</v>
      </c>
    </row>
    <row r="50" spans="2:11" ht="15.75">
      <c r="B50" s="57" t="s">
        <v>231</v>
      </c>
      <c r="C50" s="1">
        <f>COUNT(C32:C48)</f>
        <v>15</v>
      </c>
      <c r="D50" s="1">
        <f aca="true" t="shared" si="7" ref="D50:J50">COUNT(D32:D48)</f>
        <v>14</v>
      </c>
      <c r="E50" s="1">
        <f t="shared" si="7"/>
        <v>15</v>
      </c>
      <c r="F50" s="1">
        <f t="shared" si="7"/>
        <v>15</v>
      </c>
      <c r="H50" s="1">
        <f>COUNT(H32:H48)</f>
        <v>16</v>
      </c>
      <c r="I50" s="1">
        <f t="shared" si="7"/>
        <v>4</v>
      </c>
      <c r="J50" s="1">
        <f t="shared" si="7"/>
        <v>13</v>
      </c>
      <c r="K50" s="1">
        <f>COUNT(K34:K48)</f>
        <v>4</v>
      </c>
    </row>
    <row r="51" spans="2:19" ht="31.5">
      <c r="B51" s="11" t="s">
        <v>230</v>
      </c>
      <c r="C51" s="16">
        <f aca="true" t="shared" si="8" ref="C51:K51">C49/C50</f>
        <v>434.6666666666667</v>
      </c>
      <c r="D51" s="16">
        <f t="shared" si="8"/>
        <v>428.7142857142857</v>
      </c>
      <c r="E51" s="16">
        <f t="shared" si="8"/>
        <v>433.8666666666667</v>
      </c>
      <c r="F51" s="16">
        <f t="shared" si="8"/>
        <v>434.53333333333336</v>
      </c>
      <c r="G51" s="16"/>
      <c r="H51" s="16">
        <f t="shared" si="8"/>
        <v>444.1875</v>
      </c>
      <c r="I51" s="16">
        <f t="shared" si="8"/>
        <v>414.75</v>
      </c>
      <c r="J51" s="16">
        <f t="shared" si="8"/>
        <v>418.0769230769231</v>
      </c>
      <c r="K51" s="16">
        <f t="shared" si="8"/>
        <v>381.5</v>
      </c>
      <c r="L51" s="3" t="s">
        <v>29</v>
      </c>
      <c r="M51" s="461" t="s">
        <v>109</v>
      </c>
      <c r="N51" s="461"/>
      <c r="O51" s="3" t="s">
        <v>30</v>
      </c>
      <c r="P51" s="10" t="s">
        <v>110</v>
      </c>
      <c r="R51" s="63" t="s">
        <v>118</v>
      </c>
      <c r="S51" s="63" t="s">
        <v>209</v>
      </c>
    </row>
    <row r="52" spans="12:19" ht="15.75">
      <c r="L52" s="6">
        <f>SUM(L32:L48)+L26</f>
        <v>81899</v>
      </c>
      <c r="M52" s="6">
        <f>SUM(M32:M48)+M26</f>
        <v>132</v>
      </c>
      <c r="N52" s="6">
        <f>SUM(N32:N48)+N26</f>
        <v>124</v>
      </c>
      <c r="O52" s="6">
        <f>SUM(O32:O48)+O26</f>
        <v>53</v>
      </c>
      <c r="P52" s="6">
        <f>SUM(P32:P48)+P26</f>
        <v>33</v>
      </c>
      <c r="R52" s="2">
        <f>M52-N52</f>
        <v>8</v>
      </c>
      <c r="S52" s="2">
        <f>SUM(Q49:S49)</f>
        <v>32</v>
      </c>
    </row>
    <row r="54" spans="12:13" ht="15.75">
      <c r="L54" s="1" t="s">
        <v>120</v>
      </c>
      <c r="M54" s="18">
        <f>L52/S52</f>
        <v>2559.34375</v>
      </c>
    </row>
  </sheetData>
  <sheetProtection/>
  <mergeCells count="9">
    <mergeCell ref="M30:N30"/>
    <mergeCell ref="I1:J1"/>
    <mergeCell ref="M51:N51"/>
    <mergeCell ref="C4:K4"/>
    <mergeCell ref="M4:N4"/>
    <mergeCell ref="C28:D28"/>
    <mergeCell ref="M25:N25"/>
    <mergeCell ref="F28:H28"/>
    <mergeCell ref="J28:K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U53"/>
  <sheetViews>
    <sheetView zoomScale="90" zoomScaleNormal="90" zoomScalePageLayoutView="0" workbookViewId="0" topLeftCell="A27">
      <selection activeCell="G47" sqref="F47:G47"/>
    </sheetView>
  </sheetViews>
  <sheetFormatPr defaultColWidth="9.00390625" defaultRowHeight="12.75"/>
  <cols>
    <col min="1" max="1" width="11.25390625" style="4" bestFit="1" customWidth="1"/>
    <col min="2" max="2" width="21.00390625" style="4" bestFit="1" customWidth="1"/>
    <col min="3" max="3" width="12.375" style="4" customWidth="1"/>
    <col min="4" max="5" width="9.625" style="4" customWidth="1"/>
    <col min="6" max="6" width="10.125" style="4" customWidth="1"/>
    <col min="7" max="7" width="7.25390625" style="4" bestFit="1" customWidth="1"/>
    <col min="8" max="8" width="9.125" style="4" customWidth="1"/>
    <col min="9" max="11" width="9.75390625" style="4" customWidth="1"/>
    <col min="12" max="12" width="11.125" style="4" customWidth="1"/>
    <col min="13" max="13" width="10.125" style="4" customWidth="1"/>
    <col min="14" max="14" width="18.25390625" style="1" bestFit="1" customWidth="1"/>
    <col min="15" max="15" width="16.375" style="1" customWidth="1"/>
    <col min="16" max="16" width="10.375" style="1" customWidth="1"/>
    <col min="17" max="17" width="13.375" style="1" customWidth="1"/>
    <col min="18" max="18" width="11.875" style="1" customWidth="1"/>
    <col min="20" max="20" width="12.00390625" style="0" customWidth="1"/>
    <col min="21" max="21" width="10.75390625" style="0" customWidth="1"/>
  </cols>
  <sheetData>
    <row r="1" spans="1:18" ht="15.75">
      <c r="A1" s="48" t="s">
        <v>133</v>
      </c>
      <c r="B1" s="49"/>
      <c r="C1" s="49" t="s">
        <v>253</v>
      </c>
      <c r="D1" s="49" t="s">
        <v>137</v>
      </c>
      <c r="E1" s="49"/>
      <c r="F1" s="49"/>
      <c r="G1" s="459" t="s">
        <v>254</v>
      </c>
      <c r="H1" s="459"/>
      <c r="I1" s="459"/>
      <c r="J1" s="49"/>
      <c r="K1" s="49"/>
      <c r="L1" s="455" t="s">
        <v>143</v>
      </c>
      <c r="M1" s="455"/>
      <c r="N1" s="11" t="s">
        <v>144</v>
      </c>
      <c r="O1" s="13" t="s">
        <v>118</v>
      </c>
      <c r="Q1" s="122" t="s">
        <v>120</v>
      </c>
      <c r="R1" s="18">
        <f>N26/U26</f>
        <v>2599.375</v>
      </c>
    </row>
    <row r="2" spans="12:18" ht="15.75">
      <c r="L2" s="6">
        <f>O26+O51</f>
        <v>147</v>
      </c>
      <c r="M2" s="6">
        <f>P26+P51</f>
        <v>109</v>
      </c>
      <c r="N2" s="6">
        <f>R26+R48</f>
        <v>39</v>
      </c>
      <c r="O2" s="1">
        <f>L2-M2</f>
        <v>38</v>
      </c>
      <c r="Q2" s="122" t="s">
        <v>216</v>
      </c>
      <c r="R2" s="6">
        <f>N6+N8+N10+N12+N14+N17+N19+N21+N33+N35+N37+N39+N41+N43+N45+N47</f>
        <v>41393</v>
      </c>
    </row>
    <row r="4" spans="3:21" ht="15.75">
      <c r="C4" s="468" t="s">
        <v>26</v>
      </c>
      <c r="D4" s="468"/>
      <c r="E4" s="468"/>
      <c r="F4" s="468"/>
      <c r="G4" s="468"/>
      <c r="H4" s="468"/>
      <c r="I4" s="468"/>
      <c r="J4" s="468"/>
      <c r="K4" s="468"/>
      <c r="L4" s="468"/>
      <c r="M4" s="468"/>
      <c r="O4" s="461" t="s">
        <v>27</v>
      </c>
      <c r="P4" s="461"/>
      <c r="S4" s="2"/>
      <c r="T4" s="2"/>
      <c r="U4" s="2"/>
    </row>
    <row r="5" spans="2:21" ht="35.25" customHeight="1" thickBot="1">
      <c r="B5" s="5" t="s">
        <v>24</v>
      </c>
      <c r="C5" s="120" t="s">
        <v>255</v>
      </c>
      <c r="D5" s="120" t="s">
        <v>256</v>
      </c>
      <c r="E5" s="180" t="s">
        <v>282</v>
      </c>
      <c r="F5" s="120" t="s">
        <v>257</v>
      </c>
      <c r="G5" s="120" t="s">
        <v>258</v>
      </c>
      <c r="H5" s="120" t="s">
        <v>198</v>
      </c>
      <c r="I5" s="120" t="s">
        <v>259</v>
      </c>
      <c r="J5" s="139" t="s">
        <v>264</v>
      </c>
      <c r="K5" s="138" t="s">
        <v>281</v>
      </c>
      <c r="L5" s="120" t="s">
        <v>286</v>
      </c>
      <c r="M5" s="120"/>
      <c r="N5" s="3" t="s">
        <v>29</v>
      </c>
      <c r="O5" s="3" t="s">
        <v>241</v>
      </c>
      <c r="P5" s="3" t="s">
        <v>28</v>
      </c>
      <c r="Q5" s="3" t="s">
        <v>30</v>
      </c>
      <c r="R5" s="10" t="s">
        <v>108</v>
      </c>
      <c r="S5" s="2" t="s">
        <v>174</v>
      </c>
      <c r="T5" s="2" t="s">
        <v>175</v>
      </c>
      <c r="U5" s="2" t="s">
        <v>176</v>
      </c>
    </row>
    <row r="6" spans="1:21" s="231" customFormat="1" ht="15.75">
      <c r="A6" s="240" t="s">
        <v>0</v>
      </c>
      <c r="B6" s="226" t="s">
        <v>195</v>
      </c>
      <c r="C6" s="227"/>
      <c r="D6" s="226">
        <v>425</v>
      </c>
      <c r="E6" s="226"/>
      <c r="F6" s="226"/>
      <c r="G6" s="227"/>
      <c r="H6" s="227">
        <v>404</v>
      </c>
      <c r="I6" s="227">
        <v>420</v>
      </c>
      <c r="J6" s="249">
        <v>448</v>
      </c>
      <c r="K6" s="249">
        <v>432</v>
      </c>
      <c r="L6" s="249">
        <v>435</v>
      </c>
      <c r="M6" s="227"/>
      <c r="N6" s="241">
        <f>SUM(C6:M6)</f>
        <v>2564</v>
      </c>
      <c r="O6" s="224">
        <v>3</v>
      </c>
      <c r="P6" s="224">
        <v>5</v>
      </c>
      <c r="Q6" s="224">
        <v>-56</v>
      </c>
      <c r="R6" s="224">
        <v>0</v>
      </c>
      <c r="S6" s="230"/>
      <c r="T6" s="230"/>
      <c r="U6" s="230">
        <v>1</v>
      </c>
    </row>
    <row r="7" spans="1:21" s="102" customFormat="1" ht="15.75">
      <c r="A7" s="269" t="s">
        <v>1</v>
      </c>
      <c r="B7" s="34" t="s">
        <v>196</v>
      </c>
      <c r="C7" s="36"/>
      <c r="D7" s="34">
        <v>394</v>
      </c>
      <c r="E7" s="34"/>
      <c r="F7" s="250">
        <v>437</v>
      </c>
      <c r="G7" s="36">
        <v>417</v>
      </c>
      <c r="H7" s="36"/>
      <c r="I7" s="36"/>
      <c r="J7" s="261">
        <v>469</v>
      </c>
      <c r="K7" s="36">
        <v>405</v>
      </c>
      <c r="L7" s="102">
        <v>417</v>
      </c>
      <c r="M7" s="36"/>
      <c r="N7" s="270">
        <f aca="true" t="shared" si="0" ref="N7:N22">SUM(C7:M7)</f>
        <v>2539</v>
      </c>
      <c r="O7" s="102">
        <v>2</v>
      </c>
      <c r="P7" s="102">
        <v>6</v>
      </c>
      <c r="Q7" s="102">
        <v>-30</v>
      </c>
      <c r="R7" s="102">
        <v>0</v>
      </c>
      <c r="U7" s="102">
        <v>1</v>
      </c>
    </row>
    <row r="8" spans="1:19" s="47" customFormat="1" ht="15.75">
      <c r="A8" s="271" t="s">
        <v>2</v>
      </c>
      <c r="B8" s="35" t="s">
        <v>192</v>
      </c>
      <c r="C8" s="39">
        <v>177</v>
      </c>
      <c r="D8" s="35">
        <v>198</v>
      </c>
      <c r="E8" s="39"/>
      <c r="F8" s="35"/>
      <c r="G8" s="252">
        <v>421</v>
      </c>
      <c r="H8" s="252">
        <v>424</v>
      </c>
      <c r="I8" s="39"/>
      <c r="J8" s="252">
        <v>453</v>
      </c>
      <c r="K8" s="252">
        <v>445</v>
      </c>
      <c r="L8" s="202">
        <v>458</v>
      </c>
      <c r="M8" s="39"/>
      <c r="N8" s="272">
        <f t="shared" si="0"/>
        <v>2576</v>
      </c>
      <c r="O8" s="47">
        <v>7</v>
      </c>
      <c r="P8" s="47">
        <v>1</v>
      </c>
      <c r="Q8" s="245">
        <v>78</v>
      </c>
      <c r="R8" s="47">
        <v>2</v>
      </c>
      <c r="S8" s="47">
        <v>1</v>
      </c>
    </row>
    <row r="9" spans="1:19" s="102" customFormat="1" ht="15.75">
      <c r="A9" s="269" t="s">
        <v>3</v>
      </c>
      <c r="B9" s="34" t="s">
        <v>272</v>
      </c>
      <c r="C9" s="36"/>
      <c r="D9" s="34"/>
      <c r="E9" s="34"/>
      <c r="F9" s="250">
        <v>434</v>
      </c>
      <c r="G9" s="261">
        <v>423</v>
      </c>
      <c r="H9" s="36">
        <v>418</v>
      </c>
      <c r="I9" s="36"/>
      <c r="J9" s="261">
        <v>444</v>
      </c>
      <c r="K9" s="261">
        <v>431</v>
      </c>
      <c r="L9" s="36">
        <v>414</v>
      </c>
      <c r="N9" s="270">
        <f t="shared" si="0"/>
        <v>2564</v>
      </c>
      <c r="O9" s="102">
        <v>6</v>
      </c>
      <c r="P9" s="102">
        <v>2</v>
      </c>
      <c r="Q9" s="168">
        <v>86</v>
      </c>
      <c r="R9" s="102">
        <v>2</v>
      </c>
      <c r="S9" s="102">
        <v>1</v>
      </c>
    </row>
    <row r="10" spans="1:19" s="47" customFormat="1" ht="15.75">
      <c r="A10" s="271" t="s">
        <v>4</v>
      </c>
      <c r="B10" s="35" t="s">
        <v>19</v>
      </c>
      <c r="C10" s="39"/>
      <c r="D10" s="35"/>
      <c r="E10" s="35"/>
      <c r="F10" s="35">
        <v>418</v>
      </c>
      <c r="G10" s="39">
        <v>435</v>
      </c>
      <c r="H10" s="252">
        <v>443</v>
      </c>
      <c r="I10" s="39"/>
      <c r="J10" s="39">
        <v>428</v>
      </c>
      <c r="K10" s="252">
        <v>439</v>
      </c>
      <c r="L10" s="252">
        <v>480</v>
      </c>
      <c r="N10" s="272">
        <f t="shared" si="0"/>
        <v>2643</v>
      </c>
      <c r="O10" s="47">
        <v>5</v>
      </c>
      <c r="P10" s="47">
        <v>3</v>
      </c>
      <c r="Q10" s="245">
        <v>36</v>
      </c>
      <c r="R10" s="47">
        <v>2</v>
      </c>
      <c r="S10" s="47">
        <v>1</v>
      </c>
    </row>
    <row r="11" spans="1:21" s="102" customFormat="1" ht="15.75">
      <c r="A11" s="269" t="s">
        <v>5</v>
      </c>
      <c r="B11" s="102" t="s">
        <v>18</v>
      </c>
      <c r="C11" s="36"/>
      <c r="D11" s="34"/>
      <c r="E11" s="34"/>
      <c r="F11" s="250">
        <v>436</v>
      </c>
      <c r="G11" s="36">
        <v>427</v>
      </c>
      <c r="H11" s="36">
        <v>409</v>
      </c>
      <c r="I11" s="36"/>
      <c r="J11" s="36">
        <v>434</v>
      </c>
      <c r="K11" s="261">
        <v>439</v>
      </c>
      <c r="L11" s="36">
        <v>432</v>
      </c>
      <c r="M11" s="36"/>
      <c r="N11" s="270">
        <f t="shared" si="0"/>
        <v>2577</v>
      </c>
      <c r="O11" s="102">
        <v>2</v>
      </c>
      <c r="P11" s="102">
        <v>6</v>
      </c>
      <c r="Q11" s="102">
        <v>-63</v>
      </c>
      <c r="R11" s="102">
        <v>0</v>
      </c>
      <c r="U11" s="102">
        <v>1</v>
      </c>
    </row>
    <row r="12" spans="1:19" s="47" customFormat="1" ht="15.75">
      <c r="A12" s="271" t="s">
        <v>6</v>
      </c>
      <c r="B12" s="47" t="s">
        <v>17</v>
      </c>
      <c r="C12" s="39"/>
      <c r="D12" s="35">
        <v>425</v>
      </c>
      <c r="E12" s="202">
        <v>446</v>
      </c>
      <c r="F12" s="202">
        <v>475</v>
      </c>
      <c r="G12" s="39"/>
      <c r="H12" s="39"/>
      <c r="I12" s="39">
        <v>428</v>
      </c>
      <c r="J12" s="39"/>
      <c r="K12" s="39">
        <v>402</v>
      </c>
      <c r="L12" s="252">
        <v>459</v>
      </c>
      <c r="M12" s="39"/>
      <c r="N12" s="272">
        <f t="shared" si="0"/>
        <v>2635</v>
      </c>
      <c r="O12" s="47">
        <v>5</v>
      </c>
      <c r="P12" s="47">
        <v>3</v>
      </c>
      <c r="Q12" s="245">
        <v>82</v>
      </c>
      <c r="R12" s="47">
        <v>2</v>
      </c>
      <c r="S12" s="47">
        <v>1</v>
      </c>
    </row>
    <row r="13" spans="1:19" s="102" customFormat="1" ht="15.75">
      <c r="A13" s="269" t="s">
        <v>7</v>
      </c>
      <c r="B13" s="102" t="s">
        <v>193</v>
      </c>
      <c r="C13" s="36"/>
      <c r="D13" s="34"/>
      <c r="E13" s="34"/>
      <c r="F13" s="34">
        <v>409</v>
      </c>
      <c r="G13" s="261">
        <v>445</v>
      </c>
      <c r="H13" s="261">
        <v>447</v>
      </c>
      <c r="I13" s="261">
        <v>448</v>
      </c>
      <c r="J13" s="36">
        <v>434</v>
      </c>
      <c r="K13" s="36"/>
      <c r="L13" s="261">
        <v>436</v>
      </c>
      <c r="M13" s="36"/>
      <c r="N13" s="270">
        <f t="shared" si="0"/>
        <v>2619</v>
      </c>
      <c r="O13" s="102">
        <v>6</v>
      </c>
      <c r="P13" s="102">
        <v>2</v>
      </c>
      <c r="Q13" s="168">
        <v>200</v>
      </c>
      <c r="R13" s="102">
        <v>2</v>
      </c>
      <c r="S13" s="102">
        <v>1</v>
      </c>
    </row>
    <row r="14" spans="1:21" s="47" customFormat="1" ht="15.75">
      <c r="A14" s="271" t="s">
        <v>8</v>
      </c>
      <c r="B14" s="47" t="s">
        <v>25</v>
      </c>
      <c r="C14" s="39"/>
      <c r="D14" s="39"/>
      <c r="E14" s="252">
        <v>452</v>
      </c>
      <c r="F14" s="39"/>
      <c r="G14" s="39">
        <v>429</v>
      </c>
      <c r="H14" s="39">
        <v>400</v>
      </c>
      <c r="I14" s="39">
        <v>444</v>
      </c>
      <c r="J14" s="252">
        <v>476</v>
      </c>
      <c r="K14" s="39"/>
      <c r="L14" s="39">
        <v>440</v>
      </c>
      <c r="N14" s="272">
        <f t="shared" si="0"/>
        <v>2641</v>
      </c>
      <c r="O14" s="47">
        <v>2</v>
      </c>
      <c r="P14" s="47">
        <v>6</v>
      </c>
      <c r="Q14" s="47">
        <v>-50</v>
      </c>
      <c r="R14" s="47">
        <v>0</v>
      </c>
      <c r="U14" s="47">
        <v>1</v>
      </c>
    </row>
    <row r="15" spans="1:21" s="146" customFormat="1" ht="15.75">
      <c r="A15" s="273" t="s">
        <v>9</v>
      </c>
      <c r="B15" s="149" t="s">
        <v>234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4"/>
      <c r="N15" s="274" t="s">
        <v>234</v>
      </c>
      <c r="O15" s="176"/>
      <c r="P15" s="176"/>
      <c r="Q15" s="176"/>
      <c r="R15" s="176"/>
      <c r="S15" s="176"/>
      <c r="T15" s="176"/>
      <c r="U15" s="176"/>
    </row>
    <row r="16" spans="1:19" s="102" customFormat="1" ht="15.75">
      <c r="A16" s="269" t="s">
        <v>10</v>
      </c>
      <c r="B16" s="34" t="s">
        <v>242</v>
      </c>
      <c r="C16" s="36"/>
      <c r="D16" s="34"/>
      <c r="E16" s="250">
        <v>439</v>
      </c>
      <c r="F16" s="250">
        <v>432</v>
      </c>
      <c r="G16" s="36"/>
      <c r="H16" s="36"/>
      <c r="I16" s="261">
        <v>452</v>
      </c>
      <c r="J16" s="36">
        <v>427</v>
      </c>
      <c r="K16" s="261">
        <v>436</v>
      </c>
      <c r="L16" s="261">
        <v>441</v>
      </c>
      <c r="M16" s="36"/>
      <c r="N16" s="270">
        <f t="shared" si="0"/>
        <v>2627</v>
      </c>
      <c r="O16" s="102">
        <v>7</v>
      </c>
      <c r="P16" s="102">
        <v>1</v>
      </c>
      <c r="Q16" s="168">
        <v>166</v>
      </c>
      <c r="R16" s="102">
        <v>2</v>
      </c>
      <c r="S16" s="102">
        <v>1</v>
      </c>
    </row>
    <row r="17" spans="1:21" s="47" customFormat="1" ht="15.75">
      <c r="A17" s="271" t="s">
        <v>11</v>
      </c>
      <c r="B17" s="47" t="s">
        <v>194</v>
      </c>
      <c r="C17" s="39"/>
      <c r="D17" s="35"/>
      <c r="E17" s="35"/>
      <c r="F17" s="35">
        <v>419</v>
      </c>
      <c r="G17" s="39">
        <v>429</v>
      </c>
      <c r="H17" s="39">
        <v>417</v>
      </c>
      <c r="I17" s="39">
        <v>426</v>
      </c>
      <c r="J17" s="252">
        <v>433</v>
      </c>
      <c r="K17" s="39"/>
      <c r="L17" s="252">
        <v>465</v>
      </c>
      <c r="N17" s="272">
        <f t="shared" si="0"/>
        <v>2589</v>
      </c>
      <c r="O17" s="47">
        <v>2</v>
      </c>
      <c r="P17" s="47">
        <v>6</v>
      </c>
      <c r="Q17" s="47">
        <v>-141</v>
      </c>
      <c r="R17" s="47">
        <v>0</v>
      </c>
      <c r="U17" s="47">
        <v>1</v>
      </c>
    </row>
    <row r="18" spans="1:19" s="102" customFormat="1" ht="15.75">
      <c r="A18" s="269" t="s">
        <v>12</v>
      </c>
      <c r="B18" s="36" t="s">
        <v>238</v>
      </c>
      <c r="C18" s="36"/>
      <c r="D18" s="34">
        <v>414</v>
      </c>
      <c r="E18" s="250">
        <v>450</v>
      </c>
      <c r="F18" s="34">
        <v>414</v>
      </c>
      <c r="G18" s="261">
        <v>461</v>
      </c>
      <c r="H18" s="36"/>
      <c r="I18" s="261">
        <v>430</v>
      </c>
      <c r="J18" s="36"/>
      <c r="K18" s="36"/>
      <c r="L18" s="36">
        <v>412</v>
      </c>
      <c r="M18" s="36"/>
      <c r="N18" s="270">
        <f t="shared" si="0"/>
        <v>2581</v>
      </c>
      <c r="O18" s="102">
        <v>5</v>
      </c>
      <c r="P18" s="102">
        <v>3</v>
      </c>
      <c r="Q18" s="168">
        <v>93</v>
      </c>
      <c r="R18" s="102">
        <v>2</v>
      </c>
      <c r="S18" s="102">
        <v>1</v>
      </c>
    </row>
    <row r="19" spans="1:20" s="47" customFormat="1" ht="15.75">
      <c r="A19" s="271" t="s">
        <v>13</v>
      </c>
      <c r="B19" s="47" t="s">
        <v>15</v>
      </c>
      <c r="C19" s="39"/>
      <c r="D19" s="35">
        <v>209</v>
      </c>
      <c r="E19" s="35"/>
      <c r="F19" s="35">
        <v>428</v>
      </c>
      <c r="G19" s="252">
        <v>462</v>
      </c>
      <c r="H19" s="39">
        <v>189</v>
      </c>
      <c r="I19" s="39">
        <v>426</v>
      </c>
      <c r="J19" s="252">
        <v>442</v>
      </c>
      <c r="K19" s="39"/>
      <c r="L19" s="39">
        <v>426</v>
      </c>
      <c r="M19" s="39"/>
      <c r="N19" s="272">
        <f t="shared" si="0"/>
        <v>2582</v>
      </c>
      <c r="O19" s="47">
        <v>4</v>
      </c>
      <c r="P19" s="47">
        <v>4</v>
      </c>
      <c r="Q19" s="47">
        <v>24</v>
      </c>
      <c r="R19" s="47">
        <v>1</v>
      </c>
      <c r="T19" s="47">
        <v>1</v>
      </c>
    </row>
    <row r="20" spans="1:19" s="102" customFormat="1" ht="15.75">
      <c r="A20" s="269" t="s">
        <v>14</v>
      </c>
      <c r="B20" s="34" t="s">
        <v>21</v>
      </c>
      <c r="C20" s="36"/>
      <c r="D20" s="250">
        <v>434</v>
      </c>
      <c r="E20" s="34"/>
      <c r="F20" s="250">
        <v>459</v>
      </c>
      <c r="G20" s="261">
        <v>418</v>
      </c>
      <c r="H20" s="36"/>
      <c r="I20" s="261">
        <v>451</v>
      </c>
      <c r="J20" s="36">
        <v>410</v>
      </c>
      <c r="K20" s="36"/>
      <c r="L20" s="261">
        <v>460</v>
      </c>
      <c r="M20" s="36"/>
      <c r="N20" s="270">
        <f t="shared" si="0"/>
        <v>2632</v>
      </c>
      <c r="O20" s="102">
        <v>7</v>
      </c>
      <c r="P20" s="102">
        <v>1</v>
      </c>
      <c r="Q20" s="102">
        <v>165</v>
      </c>
      <c r="R20" s="102">
        <v>2</v>
      </c>
      <c r="S20" s="102">
        <v>1</v>
      </c>
    </row>
    <row r="21" spans="1:19" s="47" customFormat="1" ht="15.75">
      <c r="A21" s="271" t="s">
        <v>239</v>
      </c>
      <c r="B21" s="35" t="s">
        <v>20</v>
      </c>
      <c r="C21" s="35"/>
      <c r="D21" s="35"/>
      <c r="E21" s="202">
        <v>469</v>
      </c>
      <c r="F21" s="202">
        <v>428</v>
      </c>
      <c r="G21" s="202">
        <v>419</v>
      </c>
      <c r="H21" s="35">
        <v>418</v>
      </c>
      <c r="I21" s="35">
        <v>418</v>
      </c>
      <c r="J21" s="35"/>
      <c r="K21" s="35"/>
      <c r="L21" s="202">
        <v>431</v>
      </c>
      <c r="N21" s="272">
        <f t="shared" si="0"/>
        <v>2583</v>
      </c>
      <c r="O21" s="47">
        <v>5</v>
      </c>
      <c r="P21" s="47">
        <v>3</v>
      </c>
      <c r="Q21" s="47">
        <v>47</v>
      </c>
      <c r="R21" s="47">
        <v>2</v>
      </c>
      <c r="S21" s="47">
        <v>1</v>
      </c>
    </row>
    <row r="22" spans="1:21" s="102" customFormat="1" ht="16.5" thickBot="1">
      <c r="A22" s="269" t="s">
        <v>240</v>
      </c>
      <c r="B22" s="102" t="s">
        <v>212</v>
      </c>
      <c r="C22" s="150"/>
      <c r="D22" s="150"/>
      <c r="E22" s="354">
        <v>463</v>
      </c>
      <c r="F22" s="150">
        <v>418</v>
      </c>
      <c r="G22" s="150">
        <v>432</v>
      </c>
      <c r="H22" s="150"/>
      <c r="I22" s="354">
        <v>441</v>
      </c>
      <c r="J22" s="354">
        <v>439</v>
      </c>
      <c r="K22" s="150"/>
      <c r="L22" s="354">
        <v>445</v>
      </c>
      <c r="M22" s="150"/>
      <c r="N22" s="270">
        <f t="shared" si="0"/>
        <v>2638</v>
      </c>
      <c r="O22" s="171">
        <v>6</v>
      </c>
      <c r="P22" s="171">
        <v>2</v>
      </c>
      <c r="Q22" s="170">
        <v>37</v>
      </c>
      <c r="R22" s="171">
        <v>2</v>
      </c>
      <c r="S22" s="171">
        <v>1</v>
      </c>
      <c r="T22" s="171"/>
      <c r="U22" s="171"/>
    </row>
    <row r="23" spans="1:21" s="38" customFormat="1" ht="16.5" thickTop="1">
      <c r="A23" s="40"/>
      <c r="B23" s="40"/>
      <c r="C23" s="56">
        <f>SUM(C6:C7)+SUM(C9:C22)</f>
        <v>0</v>
      </c>
      <c r="D23" s="56">
        <f>SUM(D6:D7)+SUM(D9:D18)+SUM(D20:D22)</f>
        <v>2092</v>
      </c>
      <c r="E23" s="56">
        <f>SUM(E6:E22)</f>
        <v>2719</v>
      </c>
      <c r="F23" s="56">
        <f>SUM(F6:F14)+SUM(F16:F17)+SUM(F18:F22)</f>
        <v>5607</v>
      </c>
      <c r="G23" s="56">
        <f>SUM(G6:G22)</f>
        <v>5618</v>
      </c>
      <c r="H23" s="56">
        <f>SUM(H6:H8)+SUM(H9:H18)+SUM(H20:H22)</f>
        <v>3780</v>
      </c>
      <c r="I23" s="56">
        <f>SUM(I6:I7)+SUM(I8:I9)+SUM(I10:I22)</f>
        <v>4784</v>
      </c>
      <c r="J23" s="56">
        <f>SUM(J6:J7)+SUM(J8:J9)+SUM(J10:J22)</f>
        <v>5737</v>
      </c>
      <c r="K23" s="56">
        <f>SUM(K6:K7)+SUM(K8:K9)+SUM(K10:K22)</f>
        <v>3429</v>
      </c>
      <c r="L23" s="56">
        <f>SUM(L6:L22)</f>
        <v>7051</v>
      </c>
      <c r="M23" s="56">
        <f>SUM(M6)+SUM(M8:M9)+SUM(M10:M22)</f>
        <v>0</v>
      </c>
      <c r="S23" s="38">
        <f>SUM(S6:S22)</f>
        <v>10</v>
      </c>
      <c r="T23" s="38">
        <f>SUM(T6:T22)</f>
        <v>1</v>
      </c>
      <c r="U23" s="38">
        <f>SUM(U6:U22)</f>
        <v>5</v>
      </c>
    </row>
    <row r="24" spans="2:13" ht="15.75">
      <c r="B24" s="1" t="s">
        <v>211</v>
      </c>
      <c r="C24" s="7">
        <f>COUNT(C6:C7)+COUNT(C9:C22)</f>
        <v>0</v>
      </c>
      <c r="D24" s="7">
        <f>COUNT(D6:D7)+COUNT(D9:D18)+COUNT(D20:D22)</f>
        <v>5</v>
      </c>
      <c r="E24" s="7">
        <f>COUNT(E6:E22)</f>
        <v>6</v>
      </c>
      <c r="F24" s="7">
        <f>COUNT(F7:F17)+COUNT(F18:F21)+COUNT(F22)</f>
        <v>13</v>
      </c>
      <c r="G24" s="7">
        <f>COUNT(G6:G22)</f>
        <v>13</v>
      </c>
      <c r="H24" s="7">
        <f>COUNT(H6:H8)+COUNT(H9:H18)+COUNT(H20:H22)</f>
        <v>9</v>
      </c>
      <c r="I24" s="7">
        <f>COUNT(I6:I7)+COUNT(I8:I9)+COUNT(I10:I22)</f>
        <v>11</v>
      </c>
      <c r="J24" s="7">
        <f>COUNT(J6:J7)+COUNT(J8:J9)+COUNT(J10:J22)</f>
        <v>13</v>
      </c>
      <c r="K24" s="7">
        <f>COUNT(K6:K7)+COUNT(K8:K9)+COUNT(K10:K22)</f>
        <v>8</v>
      </c>
      <c r="L24" s="7">
        <f>COUNT(L6:L22)</f>
        <v>16</v>
      </c>
      <c r="M24" s="7">
        <f>COUNT(M6)+COUNT(M8:M9)+COUNT(M10:M22)</f>
        <v>0</v>
      </c>
    </row>
    <row r="25" spans="2:21" ht="31.5">
      <c r="B25" s="11" t="s">
        <v>119</v>
      </c>
      <c r="C25" s="17"/>
      <c r="D25" s="17">
        <f>D23/D24</f>
        <v>418.4</v>
      </c>
      <c r="E25" s="17">
        <f>E23/E24</f>
        <v>453.1666666666667</v>
      </c>
      <c r="F25" s="17">
        <f>AVERAGE(F6:F22)</f>
        <v>431.3076923076923</v>
      </c>
      <c r="G25" s="17">
        <f>AVERAGE(G6:G22)</f>
        <v>432.15384615384613</v>
      </c>
      <c r="H25" s="17">
        <f>H23/H24</f>
        <v>420</v>
      </c>
      <c r="I25" s="17">
        <f>I23/I24</f>
        <v>434.90909090909093</v>
      </c>
      <c r="J25" s="17">
        <f>J23/J24</f>
        <v>441.3076923076923</v>
      </c>
      <c r="K25" s="17">
        <f>K23/K24</f>
        <v>428.625</v>
      </c>
      <c r="L25" s="17">
        <f>L23/L24</f>
        <v>440.6875</v>
      </c>
      <c r="M25" s="17"/>
      <c r="N25" s="3" t="s">
        <v>29</v>
      </c>
      <c r="O25" s="461" t="s">
        <v>109</v>
      </c>
      <c r="P25" s="461"/>
      <c r="Q25" s="3" t="s">
        <v>30</v>
      </c>
      <c r="R25" s="10" t="s">
        <v>110</v>
      </c>
      <c r="T25" s="63" t="s">
        <v>118</v>
      </c>
      <c r="U25" s="63" t="s">
        <v>209</v>
      </c>
    </row>
    <row r="26" spans="14:21" ht="15.75">
      <c r="N26" s="6">
        <f>SUM(N6:N22)</f>
        <v>41590</v>
      </c>
      <c r="O26" s="1">
        <f>SUM(O6:O22)</f>
        <v>74</v>
      </c>
      <c r="P26" s="1">
        <f>SUM(P6:P22)</f>
        <v>54</v>
      </c>
      <c r="Q26" s="1">
        <f>SUM(Q6:Q22)</f>
        <v>674</v>
      </c>
      <c r="R26" s="1">
        <f>SUM(R6:R22)</f>
        <v>21</v>
      </c>
      <c r="T26" s="2">
        <f>O26-P26</f>
        <v>20</v>
      </c>
      <c r="U26" s="2">
        <f>SUM(S23:U23)</f>
        <v>16</v>
      </c>
    </row>
    <row r="27" spans="3:13" ht="15.75">
      <c r="C27" s="463" t="s">
        <v>37</v>
      </c>
      <c r="D27" s="463"/>
      <c r="E27" s="45"/>
      <c r="F27" s="45"/>
      <c r="H27" s="458" t="s">
        <v>124</v>
      </c>
      <c r="I27" s="458"/>
      <c r="J27" s="29"/>
      <c r="K27" s="29"/>
      <c r="L27" s="462" t="s">
        <v>125</v>
      </c>
      <c r="M27" s="462"/>
    </row>
    <row r="28" spans="1:21" ht="16.5" thickBo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123"/>
      <c r="T28" s="123"/>
      <c r="U28" s="123"/>
    </row>
    <row r="29" spans="9:11" ht="15.75">
      <c r="I29" s="15"/>
      <c r="J29" s="15"/>
      <c r="K29" s="15"/>
    </row>
    <row r="30" spans="2:21" ht="39" customHeight="1" thickBot="1">
      <c r="B30" s="5" t="s">
        <v>24</v>
      </c>
      <c r="C30" s="120" t="s">
        <v>255</v>
      </c>
      <c r="D30" s="120" t="s">
        <v>256</v>
      </c>
      <c r="E30" s="180" t="s">
        <v>282</v>
      </c>
      <c r="F30" s="120" t="s">
        <v>257</v>
      </c>
      <c r="G30" s="120" t="s">
        <v>258</v>
      </c>
      <c r="H30" s="120" t="s">
        <v>198</v>
      </c>
      <c r="I30" s="120" t="s">
        <v>259</v>
      </c>
      <c r="J30" s="139" t="s">
        <v>264</v>
      </c>
      <c r="K30" s="138" t="s">
        <v>281</v>
      </c>
      <c r="L30" s="120" t="s">
        <v>286</v>
      </c>
      <c r="M30" s="120"/>
      <c r="N30" s="3" t="s">
        <v>29</v>
      </c>
      <c r="O30" s="3" t="s">
        <v>241</v>
      </c>
      <c r="P30" s="3" t="s">
        <v>28</v>
      </c>
      <c r="Q30" s="3" t="s">
        <v>30</v>
      </c>
      <c r="R30" s="10" t="s">
        <v>108</v>
      </c>
      <c r="S30" s="2" t="s">
        <v>174</v>
      </c>
      <c r="T30" s="2" t="s">
        <v>175</v>
      </c>
      <c r="U30" s="2" t="s">
        <v>176</v>
      </c>
    </row>
    <row r="31" spans="1:21" s="106" customFormat="1" ht="15.75">
      <c r="A31" s="19" t="s">
        <v>145</v>
      </c>
      <c r="B31" s="102" t="s">
        <v>25</v>
      </c>
      <c r="C31" s="85"/>
      <c r="D31" s="99"/>
      <c r="E31" s="267">
        <v>442</v>
      </c>
      <c r="F31" s="267">
        <v>454</v>
      </c>
      <c r="G31" s="99">
        <v>412</v>
      </c>
      <c r="H31" s="99">
        <v>416</v>
      </c>
      <c r="I31" s="99"/>
      <c r="J31" s="99">
        <v>395</v>
      </c>
      <c r="K31" s="99"/>
      <c r="L31" s="99">
        <v>411</v>
      </c>
      <c r="M31" s="99"/>
      <c r="N31" s="105">
        <f>SUM(C31:M31)</f>
        <v>2530</v>
      </c>
      <c r="O31" s="103">
        <v>2</v>
      </c>
      <c r="P31" s="103">
        <v>6</v>
      </c>
      <c r="Q31" s="103">
        <v>-55</v>
      </c>
      <c r="R31" s="103">
        <v>0</v>
      </c>
      <c r="U31" s="106">
        <v>1</v>
      </c>
    </row>
    <row r="32" spans="1:18" s="223" customFormat="1" ht="15.75">
      <c r="A32" s="145" t="s">
        <v>146</v>
      </c>
      <c r="B32" s="149" t="s">
        <v>234</v>
      </c>
      <c r="C32" s="370"/>
      <c r="D32" s="381"/>
      <c r="E32" s="381"/>
      <c r="F32" s="381"/>
      <c r="G32" s="381"/>
      <c r="H32" s="381"/>
      <c r="I32" s="381"/>
      <c r="J32" s="381"/>
      <c r="K32" s="381"/>
      <c r="L32" s="381"/>
      <c r="M32" s="382"/>
      <c r="N32" s="377" t="s">
        <v>234</v>
      </c>
      <c r="O32" s="378"/>
      <c r="P32" s="378"/>
      <c r="Q32" s="378"/>
      <c r="R32" s="378"/>
    </row>
    <row r="33" spans="1:19" s="231" customFormat="1" ht="15.75">
      <c r="A33" s="25" t="s">
        <v>147</v>
      </c>
      <c r="B33" s="35" t="s">
        <v>242</v>
      </c>
      <c r="C33" s="91"/>
      <c r="D33" s="389"/>
      <c r="E33" s="415">
        <v>450</v>
      </c>
      <c r="F33" s="389">
        <v>438</v>
      </c>
      <c r="G33" s="415">
        <v>459</v>
      </c>
      <c r="H33" s="389"/>
      <c r="I33" s="415">
        <v>456</v>
      </c>
      <c r="J33" s="415">
        <v>482</v>
      </c>
      <c r="K33" s="389"/>
      <c r="L33" s="415">
        <v>446</v>
      </c>
      <c r="M33" s="389"/>
      <c r="N33" s="200">
        <f aca="true" t="shared" si="1" ref="N33:N47">SUM(C33:M33)</f>
        <v>2731</v>
      </c>
      <c r="O33" s="193">
        <v>6</v>
      </c>
      <c r="P33" s="193">
        <v>2</v>
      </c>
      <c r="Q33" s="193">
        <v>211</v>
      </c>
      <c r="R33" s="193">
        <v>2</v>
      </c>
      <c r="S33" s="231">
        <v>1</v>
      </c>
    </row>
    <row r="34" spans="1:19" s="23" customFormat="1" ht="15.75">
      <c r="A34" s="204" t="s">
        <v>148</v>
      </c>
      <c r="B34" s="206" t="s">
        <v>194</v>
      </c>
      <c r="C34" s="211"/>
      <c r="D34" s="20"/>
      <c r="E34" s="422">
        <v>441</v>
      </c>
      <c r="F34" s="422">
        <v>461</v>
      </c>
      <c r="G34" s="20">
        <v>401</v>
      </c>
      <c r="H34" s="20"/>
      <c r="I34" s="422">
        <v>434</v>
      </c>
      <c r="J34" s="20">
        <v>427</v>
      </c>
      <c r="K34" s="20"/>
      <c r="L34" s="20">
        <v>422</v>
      </c>
      <c r="M34" s="20"/>
      <c r="N34" s="58">
        <f t="shared" si="1"/>
        <v>2586</v>
      </c>
      <c r="O34" s="19">
        <v>5</v>
      </c>
      <c r="P34" s="19">
        <v>3</v>
      </c>
      <c r="Q34" s="19">
        <v>85</v>
      </c>
      <c r="R34" s="19">
        <v>2</v>
      </c>
      <c r="S34" s="23">
        <v>1</v>
      </c>
    </row>
    <row r="35" spans="1:19" s="231" customFormat="1" ht="15.75">
      <c r="A35" s="25" t="s">
        <v>149</v>
      </c>
      <c r="B35" s="39" t="s">
        <v>238</v>
      </c>
      <c r="C35" s="91"/>
      <c r="D35" s="389">
        <v>413</v>
      </c>
      <c r="E35" s="415">
        <v>447</v>
      </c>
      <c r="F35" s="389">
        <v>434</v>
      </c>
      <c r="G35" s="389"/>
      <c r="H35" s="389"/>
      <c r="I35" s="415">
        <v>440</v>
      </c>
      <c r="J35" s="415">
        <v>455</v>
      </c>
      <c r="K35" s="415">
        <v>443</v>
      </c>
      <c r="L35" s="389"/>
      <c r="M35" s="389"/>
      <c r="N35" s="200">
        <f t="shared" si="1"/>
        <v>2632</v>
      </c>
      <c r="O35" s="193">
        <v>6</v>
      </c>
      <c r="P35" s="193">
        <v>2</v>
      </c>
      <c r="Q35" s="193">
        <f>N35-2470</f>
        <v>162</v>
      </c>
      <c r="R35" s="193">
        <v>2</v>
      </c>
      <c r="S35" s="231">
        <v>1</v>
      </c>
    </row>
    <row r="36" spans="1:19" s="211" customFormat="1" ht="15.75">
      <c r="A36" s="83" t="s">
        <v>150</v>
      </c>
      <c r="B36" s="96" t="s">
        <v>15</v>
      </c>
      <c r="C36" s="106"/>
      <c r="D36" s="391"/>
      <c r="E36" s="423">
        <v>479</v>
      </c>
      <c r="F36" s="391">
        <v>433</v>
      </c>
      <c r="G36" s="391">
        <v>413</v>
      </c>
      <c r="H36" s="391"/>
      <c r="I36" s="391">
        <v>411</v>
      </c>
      <c r="J36" s="391"/>
      <c r="K36" s="423">
        <v>445</v>
      </c>
      <c r="L36" s="423">
        <v>457</v>
      </c>
      <c r="M36" s="391"/>
      <c r="N36" s="366">
        <f t="shared" si="1"/>
        <v>2638</v>
      </c>
      <c r="O36" s="204">
        <v>5</v>
      </c>
      <c r="P36" s="204">
        <v>3</v>
      </c>
      <c r="Q36" s="204">
        <v>95</v>
      </c>
      <c r="R36" s="204">
        <v>2</v>
      </c>
      <c r="S36" s="211">
        <v>1</v>
      </c>
    </row>
    <row r="37" spans="1:19" s="231" customFormat="1" ht="15.75">
      <c r="A37" s="25" t="s">
        <v>151</v>
      </c>
      <c r="B37" s="35" t="s">
        <v>21</v>
      </c>
      <c r="C37" s="91"/>
      <c r="D37" s="389">
        <v>420</v>
      </c>
      <c r="E37" s="389"/>
      <c r="F37" s="389"/>
      <c r="G37" s="415">
        <v>453</v>
      </c>
      <c r="H37" s="415">
        <v>430</v>
      </c>
      <c r="I37" s="389">
        <v>191</v>
      </c>
      <c r="J37" s="415">
        <v>446</v>
      </c>
      <c r="K37" s="389">
        <v>179</v>
      </c>
      <c r="L37" s="415">
        <v>422</v>
      </c>
      <c r="M37" s="389"/>
      <c r="N37" s="200">
        <f t="shared" si="1"/>
        <v>2541</v>
      </c>
      <c r="O37" s="193">
        <v>6</v>
      </c>
      <c r="P37" s="193">
        <v>2</v>
      </c>
      <c r="Q37" s="193">
        <v>62</v>
      </c>
      <c r="R37" s="193">
        <v>2</v>
      </c>
      <c r="S37" s="231">
        <v>1</v>
      </c>
    </row>
    <row r="38" spans="1:21" s="106" customFormat="1" ht="15.75">
      <c r="A38" s="19" t="s">
        <v>152</v>
      </c>
      <c r="B38" s="34" t="s">
        <v>20</v>
      </c>
      <c r="C38" s="85"/>
      <c r="D38" s="143">
        <v>419</v>
      </c>
      <c r="E38" s="143"/>
      <c r="F38" s="426">
        <v>446</v>
      </c>
      <c r="G38" s="143">
        <v>416</v>
      </c>
      <c r="H38" s="143"/>
      <c r="I38" s="143">
        <v>422</v>
      </c>
      <c r="J38" s="426">
        <v>445</v>
      </c>
      <c r="K38" s="143"/>
      <c r="L38" s="143">
        <v>416</v>
      </c>
      <c r="M38" s="143"/>
      <c r="N38" s="105">
        <f t="shared" si="1"/>
        <v>2564</v>
      </c>
      <c r="O38" s="103">
        <v>2</v>
      </c>
      <c r="P38" s="103">
        <v>6</v>
      </c>
      <c r="Q38" s="103">
        <v>-49</v>
      </c>
      <c r="R38" s="103">
        <v>0</v>
      </c>
      <c r="U38" s="106">
        <v>1</v>
      </c>
    </row>
    <row r="39" spans="1:21" s="231" customFormat="1" ht="15.75">
      <c r="A39" s="25" t="s">
        <v>153</v>
      </c>
      <c r="B39" s="47" t="s">
        <v>212</v>
      </c>
      <c r="C39" s="91"/>
      <c r="D39" s="415">
        <v>452</v>
      </c>
      <c r="E39" s="415">
        <v>446</v>
      </c>
      <c r="F39" s="389"/>
      <c r="G39" s="389">
        <v>413</v>
      </c>
      <c r="H39" s="389"/>
      <c r="I39" s="389">
        <v>400</v>
      </c>
      <c r="J39" s="415">
        <v>451</v>
      </c>
      <c r="K39" s="389"/>
      <c r="L39" s="389">
        <v>422</v>
      </c>
      <c r="M39" s="389"/>
      <c r="N39" s="200">
        <f t="shared" si="1"/>
        <v>2584</v>
      </c>
      <c r="O39" s="193">
        <v>3</v>
      </c>
      <c r="P39" s="193">
        <v>5</v>
      </c>
      <c r="Q39" s="193">
        <v>-77</v>
      </c>
      <c r="R39" s="193">
        <v>0</v>
      </c>
      <c r="U39" s="231">
        <v>1</v>
      </c>
    </row>
    <row r="40" spans="1:21" s="23" customFormat="1" ht="15.75">
      <c r="A40" s="204" t="s">
        <v>154</v>
      </c>
      <c r="B40" s="205" t="s">
        <v>195</v>
      </c>
      <c r="C40" s="211"/>
      <c r="D40" s="20">
        <v>443</v>
      </c>
      <c r="E40" s="422">
        <v>466</v>
      </c>
      <c r="F40" s="422">
        <v>456</v>
      </c>
      <c r="G40" s="20"/>
      <c r="H40" s="20">
        <v>406</v>
      </c>
      <c r="I40" s="20"/>
      <c r="J40" s="422">
        <v>461</v>
      </c>
      <c r="K40" s="20"/>
      <c r="L40" s="20">
        <v>412</v>
      </c>
      <c r="M40" s="20"/>
      <c r="N40" s="58">
        <f t="shared" si="1"/>
        <v>2644</v>
      </c>
      <c r="O40" s="19">
        <v>3</v>
      </c>
      <c r="P40" s="19">
        <v>5</v>
      </c>
      <c r="Q40" s="19">
        <v>-62</v>
      </c>
      <c r="R40" s="19">
        <v>0</v>
      </c>
      <c r="U40" s="23">
        <v>1</v>
      </c>
    </row>
    <row r="41" spans="1:21" s="231" customFormat="1" ht="15.75">
      <c r="A41" s="25" t="s">
        <v>155</v>
      </c>
      <c r="B41" s="35" t="s">
        <v>196</v>
      </c>
      <c r="C41" s="91"/>
      <c r="D41" s="415">
        <v>421</v>
      </c>
      <c r="E41" s="415">
        <v>421</v>
      </c>
      <c r="F41" s="389">
        <v>398</v>
      </c>
      <c r="G41" s="389"/>
      <c r="H41" s="389">
        <v>386</v>
      </c>
      <c r="I41" s="389">
        <v>350</v>
      </c>
      <c r="J41" s="389"/>
      <c r="K41" s="389"/>
      <c r="L41" s="415">
        <v>404</v>
      </c>
      <c r="M41" s="389"/>
      <c r="N41" s="200">
        <f t="shared" si="1"/>
        <v>2380</v>
      </c>
      <c r="O41" s="193">
        <v>3</v>
      </c>
      <c r="P41" s="193">
        <v>5</v>
      </c>
      <c r="Q41" s="193">
        <v>-10</v>
      </c>
      <c r="R41" s="193">
        <v>0</v>
      </c>
      <c r="U41" s="231">
        <v>1</v>
      </c>
    </row>
    <row r="42" spans="1:19" s="211" customFormat="1" ht="15.75">
      <c r="A42" s="83" t="s">
        <v>156</v>
      </c>
      <c r="B42" s="95" t="s">
        <v>192</v>
      </c>
      <c r="C42" s="106"/>
      <c r="D42" s="423">
        <v>472</v>
      </c>
      <c r="E42" s="423">
        <v>456</v>
      </c>
      <c r="F42" s="423">
        <v>460</v>
      </c>
      <c r="G42" s="423">
        <v>446</v>
      </c>
      <c r="H42" s="391"/>
      <c r="I42" s="391"/>
      <c r="J42" s="391">
        <v>429</v>
      </c>
      <c r="K42" s="391"/>
      <c r="L42" s="391">
        <v>417</v>
      </c>
      <c r="M42" s="391"/>
      <c r="N42" s="366">
        <f t="shared" si="1"/>
        <v>2680</v>
      </c>
      <c r="O42" s="204">
        <v>6</v>
      </c>
      <c r="P42" s="204">
        <v>2</v>
      </c>
      <c r="Q42" s="204">
        <v>70</v>
      </c>
      <c r="R42" s="204">
        <v>2</v>
      </c>
      <c r="S42" s="211">
        <v>1</v>
      </c>
    </row>
    <row r="43" spans="1:19" s="231" customFormat="1" ht="15.75">
      <c r="A43" s="25" t="s">
        <v>157</v>
      </c>
      <c r="B43" s="35" t="s">
        <v>272</v>
      </c>
      <c r="C43" s="91"/>
      <c r="D43" s="415">
        <v>455</v>
      </c>
      <c r="E43" s="389"/>
      <c r="F43" s="415">
        <v>443</v>
      </c>
      <c r="G43" s="415">
        <v>440</v>
      </c>
      <c r="H43" s="389">
        <v>414</v>
      </c>
      <c r="I43" s="389"/>
      <c r="J43" s="415">
        <v>439</v>
      </c>
      <c r="K43" s="389"/>
      <c r="L43" s="415">
        <v>437</v>
      </c>
      <c r="M43" s="389"/>
      <c r="N43" s="200">
        <f t="shared" si="1"/>
        <v>2628</v>
      </c>
      <c r="O43" s="193">
        <v>7</v>
      </c>
      <c r="P43" s="193">
        <v>1</v>
      </c>
      <c r="Q43" s="193">
        <v>121</v>
      </c>
      <c r="R43" s="193">
        <v>2</v>
      </c>
      <c r="S43" s="231">
        <v>1</v>
      </c>
    </row>
    <row r="44" spans="1:19" s="106" customFormat="1" ht="15.75">
      <c r="A44" s="19" t="s">
        <v>243</v>
      </c>
      <c r="B44" s="34" t="s">
        <v>19</v>
      </c>
      <c r="C44" s="85"/>
      <c r="D44" s="426">
        <v>446</v>
      </c>
      <c r="E44" s="426">
        <v>459</v>
      </c>
      <c r="F44" s="143">
        <v>393</v>
      </c>
      <c r="G44" s="426">
        <v>467</v>
      </c>
      <c r="H44" s="143"/>
      <c r="I44" s="143"/>
      <c r="J44" s="426">
        <v>445</v>
      </c>
      <c r="K44" s="143"/>
      <c r="L44" s="426">
        <v>460</v>
      </c>
      <c r="M44" s="143"/>
      <c r="N44" s="105">
        <f t="shared" si="1"/>
        <v>2670</v>
      </c>
      <c r="O44" s="103">
        <v>7</v>
      </c>
      <c r="P44" s="103">
        <v>1</v>
      </c>
      <c r="Q44" s="103">
        <v>71</v>
      </c>
      <c r="R44" s="103">
        <v>2</v>
      </c>
      <c r="S44" s="106">
        <v>1</v>
      </c>
    </row>
    <row r="45" spans="1:21" s="231" customFormat="1" ht="15.75">
      <c r="A45" s="25" t="s">
        <v>244</v>
      </c>
      <c r="B45" s="47" t="s">
        <v>18</v>
      </c>
      <c r="C45" s="91">
        <v>188</v>
      </c>
      <c r="D45" s="415">
        <v>444</v>
      </c>
      <c r="E45" s="415">
        <v>487</v>
      </c>
      <c r="F45" s="389">
        <v>388</v>
      </c>
      <c r="G45" s="415">
        <v>446</v>
      </c>
      <c r="H45" s="389">
        <v>422</v>
      </c>
      <c r="I45" s="389"/>
      <c r="J45" s="389"/>
      <c r="K45" s="389"/>
      <c r="L45" s="389"/>
      <c r="M45" s="389"/>
      <c r="N45" s="200">
        <f t="shared" si="1"/>
        <v>2375</v>
      </c>
      <c r="O45" s="193">
        <v>3</v>
      </c>
      <c r="P45" s="193">
        <v>5</v>
      </c>
      <c r="Q45" s="193">
        <v>-275</v>
      </c>
      <c r="R45" s="193">
        <v>0</v>
      </c>
      <c r="U45" s="231">
        <v>1</v>
      </c>
    </row>
    <row r="46" spans="1:21" s="23" customFormat="1" ht="15.75">
      <c r="A46" s="204" t="s">
        <v>266</v>
      </c>
      <c r="B46" s="206" t="s">
        <v>17</v>
      </c>
      <c r="C46" s="211"/>
      <c r="D46" s="20">
        <v>411</v>
      </c>
      <c r="E46" s="422">
        <v>484</v>
      </c>
      <c r="F46" s="20"/>
      <c r="G46" s="20"/>
      <c r="H46" s="20">
        <v>408</v>
      </c>
      <c r="I46" s="422">
        <v>442</v>
      </c>
      <c r="J46" s="20">
        <v>419</v>
      </c>
      <c r="K46" s="20"/>
      <c r="L46" s="20">
        <v>416</v>
      </c>
      <c r="M46" s="20"/>
      <c r="N46" s="58">
        <f t="shared" si="1"/>
        <v>2580</v>
      </c>
      <c r="O46" s="19">
        <v>2</v>
      </c>
      <c r="P46" s="19">
        <v>6</v>
      </c>
      <c r="Q46" s="19">
        <v>-126</v>
      </c>
      <c r="R46" s="19">
        <v>0</v>
      </c>
      <c r="U46" s="23">
        <v>1</v>
      </c>
    </row>
    <row r="47" spans="1:21" s="231" customFormat="1" ht="16.5" thickBot="1">
      <c r="A47" s="25" t="s">
        <v>267</v>
      </c>
      <c r="B47" s="47" t="s">
        <v>193</v>
      </c>
      <c r="C47" s="91"/>
      <c r="D47" s="390"/>
      <c r="E47" s="390"/>
      <c r="F47" s="471">
        <v>483</v>
      </c>
      <c r="G47" s="471">
        <v>434</v>
      </c>
      <c r="H47" s="471">
        <v>450</v>
      </c>
      <c r="I47" s="471">
        <v>466</v>
      </c>
      <c r="J47" s="471">
        <v>452</v>
      </c>
      <c r="K47" s="390"/>
      <c r="L47" s="390">
        <v>424</v>
      </c>
      <c r="M47" s="390"/>
      <c r="N47" s="200">
        <f t="shared" si="1"/>
        <v>2709</v>
      </c>
      <c r="O47" s="364">
        <v>7</v>
      </c>
      <c r="P47" s="364">
        <v>1</v>
      </c>
      <c r="Q47" s="364">
        <v>184</v>
      </c>
      <c r="R47" s="364">
        <v>2</v>
      </c>
      <c r="S47" s="242">
        <v>1</v>
      </c>
      <c r="T47" s="242"/>
      <c r="U47" s="242"/>
    </row>
    <row r="48" spans="3:21" ht="16.5" thickTop="1">
      <c r="C48" s="59">
        <f aca="true" t="shared" si="2" ref="C48:M48">SUM(C31:C47)</f>
        <v>188</v>
      </c>
      <c r="D48" s="56">
        <f t="shared" si="2"/>
        <v>4796</v>
      </c>
      <c r="E48" s="56">
        <f t="shared" si="2"/>
        <v>5478</v>
      </c>
      <c r="F48" s="56">
        <f>SUM(F31:F47)</f>
        <v>5687</v>
      </c>
      <c r="G48" s="56">
        <f>SUM(G31:G46)</f>
        <v>4766</v>
      </c>
      <c r="H48" s="56">
        <f>SUM(H31:H47)</f>
        <v>3332</v>
      </c>
      <c r="I48" s="56">
        <f>SUM(I31:I36)+SUM(I38:I47)</f>
        <v>3821</v>
      </c>
      <c r="J48" s="56">
        <f t="shared" si="2"/>
        <v>5746</v>
      </c>
      <c r="K48" s="56">
        <f>SUM(K31:K36)+SUM(K38:K47)</f>
        <v>888</v>
      </c>
      <c r="L48" s="56">
        <f t="shared" si="2"/>
        <v>5966</v>
      </c>
      <c r="M48" s="59">
        <f t="shared" si="2"/>
        <v>0</v>
      </c>
      <c r="O48" s="1">
        <f>SUM(O31:O47)</f>
        <v>73</v>
      </c>
      <c r="P48" s="1">
        <f>SUM(P31:P47)</f>
        <v>55</v>
      </c>
      <c r="Q48" s="1">
        <f>SUM(Q31:Q47)</f>
        <v>407</v>
      </c>
      <c r="R48" s="1">
        <f>SUM(R31:R47)</f>
        <v>18</v>
      </c>
      <c r="S48" s="1">
        <f>SUM(S31:S47)+S23</f>
        <v>19</v>
      </c>
      <c r="T48" s="1">
        <f>SUM(T31:T47)+T23</f>
        <v>1</v>
      </c>
      <c r="U48" s="1">
        <f>SUM(U31:U47)+U23</f>
        <v>12</v>
      </c>
    </row>
    <row r="49" spans="2:13" ht="15.75">
      <c r="B49" s="100" t="s">
        <v>231</v>
      </c>
      <c r="C49" s="4">
        <f>COUNT(C31:C47)</f>
        <v>1</v>
      </c>
      <c r="D49" s="4">
        <f aca="true" t="shared" si="3" ref="D49:M49">COUNT(D31:D47)</f>
        <v>11</v>
      </c>
      <c r="E49" s="4">
        <f t="shared" si="3"/>
        <v>12</v>
      </c>
      <c r="F49" s="4">
        <f t="shared" si="3"/>
        <v>13</v>
      </c>
      <c r="G49" s="4">
        <f>COUNT(G31:G46)</f>
        <v>11</v>
      </c>
      <c r="H49" s="4">
        <f>COUNT(H31:H47)</f>
        <v>8</v>
      </c>
      <c r="I49" s="1">
        <f>COUNT(I31:I36)+COUNT(I38:I47)</f>
        <v>9</v>
      </c>
      <c r="J49" s="4">
        <f t="shared" si="3"/>
        <v>13</v>
      </c>
      <c r="K49" s="1">
        <f>COUNT(K31:K36)+COUNT(K38:K47)</f>
        <v>2</v>
      </c>
      <c r="L49" s="4">
        <f t="shared" si="3"/>
        <v>14</v>
      </c>
      <c r="M49" s="4">
        <f t="shared" si="3"/>
        <v>0</v>
      </c>
    </row>
    <row r="50" spans="2:21" ht="31.5">
      <c r="B50" s="11" t="s">
        <v>230</v>
      </c>
      <c r="C50" s="17">
        <f aca="true" t="shared" si="4" ref="C50:L50">C48/C49</f>
        <v>188</v>
      </c>
      <c r="D50" s="17">
        <f t="shared" si="4"/>
        <v>436</v>
      </c>
      <c r="E50" s="17">
        <f t="shared" si="4"/>
        <v>456.5</v>
      </c>
      <c r="F50" s="17">
        <f t="shared" si="4"/>
        <v>437.46153846153845</v>
      </c>
      <c r="G50" s="17">
        <f t="shared" si="4"/>
        <v>433.27272727272725</v>
      </c>
      <c r="H50" s="17">
        <f t="shared" si="4"/>
        <v>416.5</v>
      </c>
      <c r="I50" s="17">
        <f t="shared" si="4"/>
        <v>424.55555555555554</v>
      </c>
      <c r="J50" s="17">
        <f t="shared" si="4"/>
        <v>442</v>
      </c>
      <c r="K50" s="17">
        <f t="shared" si="4"/>
        <v>444</v>
      </c>
      <c r="L50" s="17">
        <f t="shared" si="4"/>
        <v>426.14285714285717</v>
      </c>
      <c r="M50" s="17"/>
      <c r="N50" s="3" t="s">
        <v>29</v>
      </c>
      <c r="O50" s="461" t="s">
        <v>109</v>
      </c>
      <c r="P50" s="461"/>
      <c r="Q50" s="3" t="s">
        <v>30</v>
      </c>
      <c r="R50" s="10" t="s">
        <v>110</v>
      </c>
      <c r="T50" s="63" t="s">
        <v>118</v>
      </c>
      <c r="U50" s="63" t="s">
        <v>209</v>
      </c>
    </row>
    <row r="51" spans="14:21" ht="15.75">
      <c r="N51" s="6">
        <f>SUM(N31:N47)+N26</f>
        <v>83062</v>
      </c>
      <c r="O51" s="6">
        <f>SUM(O31:O47)</f>
        <v>73</v>
      </c>
      <c r="P51" s="6">
        <f>SUM(P31:P47)</f>
        <v>55</v>
      </c>
      <c r="Q51" s="6">
        <f>SUM(Q31:Q47)+Q26</f>
        <v>1081</v>
      </c>
      <c r="R51" s="6">
        <f>SUM(R31:R47)+R26</f>
        <v>39</v>
      </c>
      <c r="T51" s="2">
        <f>O51-P51</f>
        <v>18</v>
      </c>
      <c r="U51" s="2">
        <f>SUM(S48:U48)</f>
        <v>32</v>
      </c>
    </row>
    <row r="53" spans="14:15" ht="15.75">
      <c r="N53" s="1" t="s">
        <v>120</v>
      </c>
      <c r="O53" s="18">
        <f>N51/U51</f>
        <v>2595.6875</v>
      </c>
    </row>
  </sheetData>
  <sheetProtection/>
  <mergeCells count="9">
    <mergeCell ref="O50:P50"/>
    <mergeCell ref="L27:M27"/>
    <mergeCell ref="G1:I1"/>
    <mergeCell ref="L1:M1"/>
    <mergeCell ref="C4:M4"/>
    <mergeCell ref="O4:P4"/>
    <mergeCell ref="C27:D27"/>
    <mergeCell ref="O25:P25"/>
    <mergeCell ref="H27:I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9CC00"/>
  </sheetPr>
  <dimension ref="A1:T53"/>
  <sheetViews>
    <sheetView zoomScale="90" zoomScaleNormal="90" zoomScalePageLayoutView="0" workbookViewId="0" topLeftCell="B28">
      <selection activeCell="J47" sqref="J47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10.625" style="1" customWidth="1"/>
    <col min="4" max="7" width="9.125" style="1" customWidth="1"/>
    <col min="8" max="8" width="9.75390625" style="1" customWidth="1"/>
    <col min="9" max="9" width="9.125" style="1" customWidth="1"/>
    <col min="10" max="10" width="11.25390625" style="1" customWidth="1"/>
    <col min="11" max="11" width="11.00390625" style="1" customWidth="1"/>
    <col min="12" max="12" width="9.125" style="1" customWidth="1"/>
    <col min="13" max="13" width="17.75390625" style="1" bestFit="1" customWidth="1"/>
    <col min="14" max="14" width="11.00390625" style="1" customWidth="1"/>
    <col min="15" max="15" width="10.375" style="1" customWidth="1"/>
    <col min="16" max="16" width="13.375" style="1" customWidth="1"/>
    <col min="17" max="17" width="13.00390625" style="1" customWidth="1"/>
    <col min="18" max="18" width="10.125" style="0" bestFit="1" customWidth="1"/>
    <col min="19" max="19" width="10.375" style="0" customWidth="1"/>
    <col min="20" max="20" width="11.625" style="0" customWidth="1"/>
  </cols>
  <sheetData>
    <row r="1" spans="1:14" ht="15.75">
      <c r="A1" s="48" t="s">
        <v>133</v>
      </c>
      <c r="B1" s="49"/>
      <c r="C1" s="49" t="s">
        <v>136</v>
      </c>
      <c r="D1" s="49" t="s">
        <v>131</v>
      </c>
      <c r="E1" s="459" t="s">
        <v>132</v>
      </c>
      <c r="F1" s="459"/>
      <c r="H1" s="455" t="s">
        <v>143</v>
      </c>
      <c r="I1" s="455"/>
      <c r="J1" s="11" t="s">
        <v>144</v>
      </c>
      <c r="K1" s="455" t="s">
        <v>118</v>
      </c>
      <c r="L1" s="455"/>
      <c r="M1" s="1" t="s">
        <v>120</v>
      </c>
      <c r="N1" s="18">
        <f>M26/T26</f>
        <v>2507.1875</v>
      </c>
    </row>
    <row r="2" spans="8:14" ht="15.75">
      <c r="H2" s="1">
        <f>N26+N48</f>
        <v>115</v>
      </c>
      <c r="I2" s="1">
        <f>O26+O48</f>
        <v>141</v>
      </c>
      <c r="J2" s="1">
        <f>Q26+Q48</f>
        <v>23</v>
      </c>
      <c r="K2" s="460">
        <f>H2-I2</f>
        <v>-26</v>
      </c>
      <c r="L2" s="460"/>
      <c r="M2" s="1" t="s">
        <v>216</v>
      </c>
      <c r="N2" s="6">
        <f>M7+M9+M12+M14+M16+M18+M20+M32+M34+M36+M38+M40+M42+M44+M45+M47</f>
        <v>40255</v>
      </c>
    </row>
    <row r="4" spans="3:20" ht="15.75">
      <c r="C4" s="461" t="s">
        <v>26</v>
      </c>
      <c r="D4" s="461"/>
      <c r="E4" s="461"/>
      <c r="F4" s="461"/>
      <c r="G4" s="461"/>
      <c r="H4" s="461"/>
      <c r="I4" s="461"/>
      <c r="J4" s="461"/>
      <c r="K4" s="461"/>
      <c r="L4" s="461"/>
      <c r="N4" s="461" t="s">
        <v>27</v>
      </c>
      <c r="O4" s="461"/>
      <c r="R4" s="2"/>
      <c r="S4" s="2"/>
      <c r="T4" s="2"/>
    </row>
    <row r="5" spans="2:20" ht="32.25" thickBot="1">
      <c r="B5" s="3" t="s">
        <v>24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263</v>
      </c>
      <c r="I5" s="8" t="s">
        <v>112</v>
      </c>
      <c r="J5" s="8" t="s">
        <v>285</v>
      </c>
      <c r="K5" s="8"/>
      <c r="L5" s="8"/>
      <c r="M5" s="3" t="s">
        <v>29</v>
      </c>
      <c r="N5" s="3" t="s">
        <v>20</v>
      </c>
      <c r="O5" s="3" t="s">
        <v>28</v>
      </c>
      <c r="P5" s="3" t="s">
        <v>30</v>
      </c>
      <c r="Q5" s="10" t="s">
        <v>108</v>
      </c>
      <c r="R5" s="2" t="s">
        <v>174</v>
      </c>
      <c r="S5" s="2" t="s">
        <v>175</v>
      </c>
      <c r="T5" s="2" t="s">
        <v>176</v>
      </c>
    </row>
    <row r="6" spans="1:20" s="211" customFormat="1" ht="15.75">
      <c r="A6" s="204" t="s">
        <v>0</v>
      </c>
      <c r="B6" s="205" t="s">
        <v>242</v>
      </c>
      <c r="C6" s="246">
        <v>440</v>
      </c>
      <c r="D6" s="207">
        <v>414</v>
      </c>
      <c r="E6" s="207">
        <v>410</v>
      </c>
      <c r="F6" s="247">
        <v>430</v>
      </c>
      <c r="G6" s="207"/>
      <c r="H6" s="207">
        <v>425</v>
      </c>
      <c r="I6" s="247">
        <v>429</v>
      </c>
      <c r="J6" s="207"/>
      <c r="K6" s="207"/>
      <c r="L6" s="208"/>
      <c r="M6" s="209">
        <f>SUM(C6:L6)</f>
        <v>2548</v>
      </c>
      <c r="N6" s="204">
        <v>3</v>
      </c>
      <c r="O6" s="204">
        <v>5</v>
      </c>
      <c r="P6" s="209">
        <v>-41</v>
      </c>
      <c r="Q6" s="204">
        <v>0</v>
      </c>
      <c r="R6" s="210"/>
      <c r="S6" s="210"/>
      <c r="T6" s="210">
        <v>1</v>
      </c>
    </row>
    <row r="7" spans="1:20" s="231" customFormat="1" ht="15.75">
      <c r="A7" s="224" t="s">
        <v>1</v>
      </c>
      <c r="B7" s="225" t="s">
        <v>194</v>
      </c>
      <c r="C7" s="251">
        <v>460</v>
      </c>
      <c r="D7" s="226"/>
      <c r="E7" s="226"/>
      <c r="F7" s="227">
        <v>442</v>
      </c>
      <c r="G7" s="227">
        <v>377</v>
      </c>
      <c r="H7" s="249">
        <v>448</v>
      </c>
      <c r="I7" s="227">
        <v>421</v>
      </c>
      <c r="J7" s="227">
        <v>373</v>
      </c>
      <c r="K7" s="227"/>
      <c r="L7" s="228"/>
      <c r="M7" s="229">
        <f>SUM(C7:L7)</f>
        <v>2521</v>
      </c>
      <c r="N7" s="224">
        <v>2</v>
      </c>
      <c r="O7" s="224">
        <v>6</v>
      </c>
      <c r="P7" s="229">
        <v>-250</v>
      </c>
      <c r="Q7" s="224">
        <v>0</v>
      </c>
      <c r="R7" s="230"/>
      <c r="S7" s="230"/>
      <c r="T7" s="230">
        <v>1</v>
      </c>
    </row>
    <row r="8" spans="1:20" s="211" customFormat="1" ht="15.75">
      <c r="A8" s="204" t="s">
        <v>2</v>
      </c>
      <c r="B8" s="207" t="s">
        <v>238</v>
      </c>
      <c r="C8" s="206"/>
      <c r="D8" s="246">
        <v>438</v>
      </c>
      <c r="E8" s="205">
        <v>411</v>
      </c>
      <c r="F8" s="247">
        <v>431</v>
      </c>
      <c r="G8" s="207"/>
      <c r="H8" s="247">
        <v>437</v>
      </c>
      <c r="I8" s="207">
        <v>422</v>
      </c>
      <c r="J8" s="207">
        <v>408</v>
      </c>
      <c r="K8" s="207"/>
      <c r="L8" s="212"/>
      <c r="M8" s="209">
        <f>SUM(C8:L8)</f>
        <v>2547</v>
      </c>
      <c r="N8" s="204">
        <v>3</v>
      </c>
      <c r="O8" s="204">
        <v>5</v>
      </c>
      <c r="P8" s="204">
        <v>-24</v>
      </c>
      <c r="Q8" s="204">
        <v>0</v>
      </c>
      <c r="R8" s="210"/>
      <c r="S8" s="210"/>
      <c r="T8" s="210">
        <v>1</v>
      </c>
    </row>
    <row r="9" spans="1:20" s="231" customFormat="1" ht="15.75">
      <c r="A9" s="224" t="s">
        <v>3</v>
      </c>
      <c r="B9" s="225" t="s">
        <v>15</v>
      </c>
      <c r="C9" s="251">
        <v>410</v>
      </c>
      <c r="D9" s="251">
        <v>418</v>
      </c>
      <c r="E9" s="251">
        <v>436</v>
      </c>
      <c r="F9" s="227">
        <v>377</v>
      </c>
      <c r="G9" s="227"/>
      <c r="H9" s="227">
        <v>387</v>
      </c>
      <c r="I9" s="249">
        <v>205</v>
      </c>
      <c r="J9" s="249">
        <v>215</v>
      </c>
      <c r="K9" s="227"/>
      <c r="L9" s="228"/>
      <c r="M9" s="229">
        <f>SUM(C9:L9)</f>
        <v>2448</v>
      </c>
      <c r="N9" s="224">
        <v>6</v>
      </c>
      <c r="O9" s="224">
        <v>2</v>
      </c>
      <c r="P9" s="224">
        <v>10</v>
      </c>
      <c r="Q9" s="224">
        <v>2</v>
      </c>
      <c r="R9" s="230">
        <v>1</v>
      </c>
      <c r="S9" s="230"/>
      <c r="T9" s="230"/>
    </row>
    <row r="10" spans="1:18" s="102" customFormat="1" ht="15.75">
      <c r="A10" s="102" t="s">
        <v>4</v>
      </c>
      <c r="B10" s="34" t="s">
        <v>21</v>
      </c>
      <c r="C10" s="250">
        <v>412</v>
      </c>
      <c r="D10" s="102">
        <v>404</v>
      </c>
      <c r="E10" s="250">
        <v>425</v>
      </c>
      <c r="G10" s="102">
        <v>401</v>
      </c>
      <c r="I10" s="250">
        <v>411</v>
      </c>
      <c r="J10" s="250">
        <v>410</v>
      </c>
      <c r="L10" s="325"/>
      <c r="M10" s="168">
        <f>SUM(C10:L10)</f>
        <v>2463</v>
      </c>
      <c r="N10" s="102">
        <v>6</v>
      </c>
      <c r="O10" s="102">
        <v>2</v>
      </c>
      <c r="P10" s="102">
        <v>115</v>
      </c>
      <c r="Q10" s="102">
        <v>2</v>
      </c>
      <c r="R10" s="102">
        <v>1</v>
      </c>
    </row>
    <row r="11" spans="1:20" s="102" customFormat="1" ht="15.75">
      <c r="A11" s="102" t="s">
        <v>5</v>
      </c>
      <c r="B11" s="34" t="s">
        <v>25</v>
      </c>
      <c r="C11" s="250">
        <v>451</v>
      </c>
      <c r="D11" s="34"/>
      <c r="E11" s="250">
        <v>461</v>
      </c>
      <c r="F11" s="36">
        <v>409</v>
      </c>
      <c r="G11" s="36"/>
      <c r="H11" s="261">
        <v>457</v>
      </c>
      <c r="I11" s="36">
        <v>398</v>
      </c>
      <c r="J11" s="36">
        <v>423</v>
      </c>
      <c r="K11" s="36"/>
      <c r="L11" s="30"/>
      <c r="M11" s="168">
        <f aca="true" t="shared" si="0" ref="M11:M21">SUM(C11:L11)</f>
        <v>2599</v>
      </c>
      <c r="N11" s="102">
        <v>3</v>
      </c>
      <c r="O11" s="102">
        <v>5</v>
      </c>
      <c r="P11" s="168">
        <v>-33</v>
      </c>
      <c r="Q11" s="102">
        <v>0</v>
      </c>
      <c r="T11" s="102">
        <v>1</v>
      </c>
    </row>
    <row r="12" spans="1:20" s="47" customFormat="1" ht="15.75">
      <c r="A12" s="47" t="s">
        <v>6</v>
      </c>
      <c r="B12" s="47" t="s">
        <v>22</v>
      </c>
      <c r="C12" s="47">
        <v>435</v>
      </c>
      <c r="D12" s="202">
        <v>475</v>
      </c>
      <c r="E12" s="202">
        <v>441</v>
      </c>
      <c r="F12" s="252">
        <v>442</v>
      </c>
      <c r="G12" s="39">
        <v>377</v>
      </c>
      <c r="H12" s="39">
        <v>402</v>
      </c>
      <c r="I12" s="39"/>
      <c r="J12" s="39"/>
      <c r="K12" s="39"/>
      <c r="L12" s="33"/>
      <c r="M12" s="245">
        <f t="shared" si="0"/>
        <v>2572</v>
      </c>
      <c r="N12" s="47">
        <v>3</v>
      </c>
      <c r="O12" s="47">
        <v>5</v>
      </c>
      <c r="P12" s="245">
        <v>-33</v>
      </c>
      <c r="Q12" s="47">
        <v>0</v>
      </c>
      <c r="T12" s="47">
        <v>1</v>
      </c>
    </row>
    <row r="13" spans="1:20" s="96" customFormat="1" ht="15.75">
      <c r="A13" s="96" t="s">
        <v>7</v>
      </c>
      <c r="B13" s="95" t="s">
        <v>195</v>
      </c>
      <c r="C13" s="201">
        <v>445</v>
      </c>
      <c r="D13" s="201">
        <v>436</v>
      </c>
      <c r="E13" s="95">
        <v>413</v>
      </c>
      <c r="F13" s="99">
        <v>414</v>
      </c>
      <c r="G13" s="99">
        <v>425</v>
      </c>
      <c r="H13" s="99"/>
      <c r="I13" s="99">
        <v>429</v>
      </c>
      <c r="J13" s="99"/>
      <c r="K13" s="99"/>
      <c r="L13" s="111"/>
      <c r="M13" s="295">
        <f t="shared" si="0"/>
        <v>2562</v>
      </c>
      <c r="N13" s="96">
        <v>2</v>
      </c>
      <c r="O13" s="96">
        <v>6</v>
      </c>
      <c r="P13" s="295">
        <v>-32</v>
      </c>
      <c r="Q13" s="96">
        <v>0</v>
      </c>
      <c r="T13" s="96">
        <v>1</v>
      </c>
    </row>
    <row r="14" spans="1:20" s="282" customFormat="1" ht="15.75">
      <c r="A14" s="282" t="s">
        <v>8</v>
      </c>
      <c r="B14" s="155" t="s">
        <v>196</v>
      </c>
      <c r="C14" s="301">
        <v>379</v>
      </c>
      <c r="D14" s="155">
        <v>357</v>
      </c>
      <c r="E14" s="330">
        <v>410</v>
      </c>
      <c r="F14" s="330">
        <v>409</v>
      </c>
      <c r="G14" s="155">
        <v>354</v>
      </c>
      <c r="H14" s="155"/>
      <c r="I14" s="155">
        <v>366</v>
      </c>
      <c r="J14" s="301"/>
      <c r="K14" s="301"/>
      <c r="L14" s="283"/>
      <c r="M14" s="284">
        <f t="shared" si="0"/>
        <v>2275</v>
      </c>
      <c r="N14" s="282">
        <v>2</v>
      </c>
      <c r="O14" s="282">
        <v>6</v>
      </c>
      <c r="P14" s="284">
        <v>-94</v>
      </c>
      <c r="Q14" s="282">
        <v>0</v>
      </c>
      <c r="T14" s="282">
        <v>1</v>
      </c>
    </row>
    <row r="15" spans="1:20" s="285" customFormat="1" ht="15.75">
      <c r="A15" s="285" t="s">
        <v>9</v>
      </c>
      <c r="B15" s="184" t="s">
        <v>192</v>
      </c>
      <c r="C15" s="339">
        <v>426</v>
      </c>
      <c r="D15" s="184">
        <v>400</v>
      </c>
      <c r="E15" s="184">
        <v>424</v>
      </c>
      <c r="F15" s="341">
        <v>442</v>
      </c>
      <c r="G15" s="296"/>
      <c r="H15" s="296">
        <v>416</v>
      </c>
      <c r="I15" s="296">
        <v>400</v>
      </c>
      <c r="J15" s="296"/>
      <c r="K15" s="296"/>
      <c r="L15" s="286"/>
      <c r="M15" s="287">
        <f t="shared" si="0"/>
        <v>2508</v>
      </c>
      <c r="N15" s="285">
        <v>2</v>
      </c>
      <c r="O15" s="285">
        <v>6</v>
      </c>
      <c r="P15" s="287">
        <v>-89</v>
      </c>
      <c r="Q15" s="285">
        <v>0</v>
      </c>
      <c r="T15" s="285">
        <v>1</v>
      </c>
    </row>
    <row r="16" spans="1:18" s="225" customFormat="1" ht="15.75">
      <c r="A16" s="225" t="s">
        <v>10</v>
      </c>
      <c r="B16" s="226" t="s">
        <v>272</v>
      </c>
      <c r="C16" s="251">
        <v>407</v>
      </c>
      <c r="D16" s="226">
        <v>392</v>
      </c>
      <c r="E16" s="251">
        <v>435</v>
      </c>
      <c r="F16" s="227"/>
      <c r="G16" s="227">
        <v>397</v>
      </c>
      <c r="H16" s="249">
        <v>417</v>
      </c>
      <c r="I16" s="227"/>
      <c r="J16" s="249">
        <v>436</v>
      </c>
      <c r="K16" s="227"/>
      <c r="L16" s="228"/>
      <c r="M16" s="319">
        <f t="shared" si="0"/>
        <v>2484</v>
      </c>
      <c r="N16" s="225">
        <v>6</v>
      </c>
      <c r="O16" s="225">
        <v>2</v>
      </c>
      <c r="P16" s="319">
        <v>85</v>
      </c>
      <c r="Q16" s="225">
        <v>2</v>
      </c>
      <c r="R16" s="225">
        <v>1</v>
      </c>
    </row>
    <row r="17" spans="1:20" s="288" customFormat="1" ht="15.75">
      <c r="A17" s="288" t="s">
        <v>11</v>
      </c>
      <c r="B17" s="254" t="s">
        <v>19</v>
      </c>
      <c r="C17" s="344">
        <v>424</v>
      </c>
      <c r="D17" s="254"/>
      <c r="E17" s="254">
        <v>386</v>
      </c>
      <c r="F17" s="311">
        <v>380</v>
      </c>
      <c r="G17" s="311"/>
      <c r="H17" s="345">
        <v>437</v>
      </c>
      <c r="I17" s="311">
        <v>407</v>
      </c>
      <c r="J17" s="345">
        <v>433</v>
      </c>
      <c r="K17" s="311"/>
      <c r="L17" s="255"/>
      <c r="M17" s="290">
        <f t="shared" si="0"/>
        <v>2467</v>
      </c>
      <c r="N17" s="288">
        <v>2</v>
      </c>
      <c r="O17" s="288">
        <v>6</v>
      </c>
      <c r="P17" s="290">
        <v>-111</v>
      </c>
      <c r="Q17" s="288">
        <v>0</v>
      </c>
      <c r="T17" s="288">
        <v>1</v>
      </c>
    </row>
    <row r="18" spans="1:20" s="256" customFormat="1" ht="15.75">
      <c r="A18" s="256" t="s">
        <v>12</v>
      </c>
      <c r="B18" s="256" t="s">
        <v>18</v>
      </c>
      <c r="C18" s="346">
        <v>435</v>
      </c>
      <c r="D18" s="346">
        <v>431</v>
      </c>
      <c r="E18" s="257">
        <v>410</v>
      </c>
      <c r="F18" s="314"/>
      <c r="G18" s="314"/>
      <c r="H18" s="347">
        <v>444</v>
      </c>
      <c r="I18" s="314">
        <v>414</v>
      </c>
      <c r="J18" s="314">
        <v>403</v>
      </c>
      <c r="K18" s="314"/>
      <c r="L18" s="258"/>
      <c r="M18" s="294">
        <f t="shared" si="0"/>
        <v>2537</v>
      </c>
      <c r="N18" s="256">
        <v>3</v>
      </c>
      <c r="O18" s="256">
        <v>5</v>
      </c>
      <c r="P18" s="294">
        <v>-55</v>
      </c>
      <c r="Q18" s="256">
        <v>0</v>
      </c>
      <c r="T18" s="256">
        <v>1</v>
      </c>
    </row>
    <row r="19" spans="1:20" s="102" customFormat="1" ht="15.75">
      <c r="A19" s="102" t="s">
        <v>13</v>
      </c>
      <c r="B19" s="102" t="s">
        <v>17</v>
      </c>
      <c r="C19" s="250">
        <v>455</v>
      </c>
      <c r="D19" s="250">
        <v>447</v>
      </c>
      <c r="E19" s="34">
        <v>439</v>
      </c>
      <c r="F19" s="36"/>
      <c r="G19" s="36">
        <v>417</v>
      </c>
      <c r="H19" s="36">
        <v>443</v>
      </c>
      <c r="I19" s="36">
        <v>377</v>
      </c>
      <c r="J19" s="36"/>
      <c r="K19" s="36"/>
      <c r="L19" s="30"/>
      <c r="M19" s="168">
        <f t="shared" si="0"/>
        <v>2578</v>
      </c>
      <c r="N19" s="102">
        <v>2</v>
      </c>
      <c r="O19" s="102">
        <v>6</v>
      </c>
      <c r="P19" s="168">
        <f>M19-2727</f>
        <v>-149</v>
      </c>
      <c r="Q19" s="102">
        <v>0</v>
      </c>
      <c r="T19" s="102">
        <v>1</v>
      </c>
    </row>
    <row r="20" spans="1:18" s="47" customFormat="1" ht="15.75">
      <c r="A20" s="47" t="s">
        <v>14</v>
      </c>
      <c r="B20" s="47" t="s">
        <v>193</v>
      </c>
      <c r="C20" s="202">
        <v>422</v>
      </c>
      <c r="D20" s="202">
        <v>428</v>
      </c>
      <c r="E20" s="35">
        <v>404</v>
      </c>
      <c r="F20" s="39">
        <v>398</v>
      </c>
      <c r="G20" s="252">
        <v>423</v>
      </c>
      <c r="H20" s="39"/>
      <c r="I20" s="39"/>
      <c r="J20" s="39">
        <v>395</v>
      </c>
      <c r="K20" s="39"/>
      <c r="L20" s="33"/>
      <c r="M20" s="245">
        <f t="shared" si="0"/>
        <v>2470</v>
      </c>
      <c r="N20" s="47">
        <v>5</v>
      </c>
      <c r="O20" s="47">
        <v>3</v>
      </c>
      <c r="P20" s="245">
        <v>69</v>
      </c>
      <c r="Q20" s="47">
        <v>2</v>
      </c>
      <c r="R20" s="47">
        <v>1</v>
      </c>
    </row>
    <row r="21" spans="1:20" s="96" customFormat="1" ht="15.75">
      <c r="A21" s="96" t="s">
        <v>239</v>
      </c>
      <c r="B21" s="96" t="s">
        <v>241</v>
      </c>
      <c r="C21" s="201">
        <v>454</v>
      </c>
      <c r="D21" s="201">
        <v>430</v>
      </c>
      <c r="E21" s="201">
        <v>426</v>
      </c>
      <c r="F21" s="99"/>
      <c r="G21" s="99">
        <v>421</v>
      </c>
      <c r="H21" s="99">
        <v>398</v>
      </c>
      <c r="I21" s="99">
        <v>407</v>
      </c>
      <c r="J21" s="99"/>
      <c r="K21" s="99"/>
      <c r="L21" s="111"/>
      <c r="M21" s="295">
        <f t="shared" si="0"/>
        <v>2536</v>
      </c>
      <c r="N21" s="96">
        <v>3</v>
      </c>
      <c r="O21" s="96">
        <v>5</v>
      </c>
      <c r="P21" s="295">
        <f>M21-2583</f>
        <v>-47</v>
      </c>
      <c r="Q21" s="96">
        <v>0</v>
      </c>
      <c r="T21" s="96">
        <v>1</v>
      </c>
    </row>
    <row r="22" spans="1:20" s="331" customFormat="1" ht="16.5" thickBot="1">
      <c r="A22" s="331" t="s">
        <v>240</v>
      </c>
      <c r="B22" s="332" t="s">
        <v>234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4"/>
      <c r="M22" s="335" t="s">
        <v>234</v>
      </c>
      <c r="N22" s="336"/>
      <c r="O22" s="336"/>
      <c r="P22" s="336"/>
      <c r="Q22" s="336"/>
      <c r="R22" s="336"/>
      <c r="S22" s="336"/>
      <c r="T22" s="336"/>
    </row>
    <row r="23" spans="3:20" ht="16.5" thickTop="1">
      <c r="C23" s="6">
        <f>SUM(C6:C22)</f>
        <v>6455</v>
      </c>
      <c r="D23" s="6">
        <f>SUM(D6:D22)</f>
        <v>5470</v>
      </c>
      <c r="E23" s="6">
        <f>SUM(E6:E22)</f>
        <v>6331</v>
      </c>
      <c r="F23" s="6">
        <f>SUM(F6:F22)</f>
        <v>4574</v>
      </c>
      <c r="G23" s="6">
        <f>SUM(G6:G15)+SUM(G16:G22)</f>
        <v>3592</v>
      </c>
      <c r="H23" s="6">
        <f>SUM(H6:H9)+SUM(H11:H22)</f>
        <v>5111</v>
      </c>
      <c r="I23" s="6">
        <f>SUM(I6:I8)+SUM(I10:I22)</f>
        <v>4881</v>
      </c>
      <c r="J23" s="6">
        <f>SUM(J6:J8)+SUM(J10:J22)</f>
        <v>3281</v>
      </c>
      <c r="K23" s="6">
        <f>SUM(K6:K8)+SUM(K11:K22)</f>
        <v>0</v>
      </c>
      <c r="L23" s="6">
        <f>SUM(L6:L8)+SUM(L11:L22)</f>
        <v>0</v>
      </c>
      <c r="R23" s="2">
        <f>SUM(R6:R22)</f>
        <v>4</v>
      </c>
      <c r="S23" s="2">
        <f>SUM(S6:S22)</f>
        <v>0</v>
      </c>
      <c r="T23" s="2">
        <f>SUM(T6:T22)</f>
        <v>12</v>
      </c>
    </row>
    <row r="24" spans="2:12" ht="15.75">
      <c r="B24" s="1" t="s">
        <v>211</v>
      </c>
      <c r="C24" s="6">
        <f>COUNT(C6:C22)</f>
        <v>15</v>
      </c>
      <c r="D24" s="6">
        <f>COUNT(D6:D22)</f>
        <v>13</v>
      </c>
      <c r="E24" s="6">
        <f>COUNT(E6:E22)</f>
        <v>15</v>
      </c>
      <c r="F24" s="6">
        <f>COUNT(F6:F22)</f>
        <v>11</v>
      </c>
      <c r="G24" s="6">
        <f>COUNT(G6:G15)+COUNT(G16:G22)</f>
        <v>9</v>
      </c>
      <c r="H24" s="6">
        <f>COUNT(H6:H9)+COUNT(H11:H22)</f>
        <v>12</v>
      </c>
      <c r="I24" s="6">
        <f>COUNT(I6:I8)+COUNT(I10:I22)</f>
        <v>12</v>
      </c>
      <c r="J24" s="6">
        <f>COUNT(J6:J8)+COUNT(J10:J22)</f>
        <v>8</v>
      </c>
      <c r="K24" s="6">
        <f>COUNT(K6:K8)+COUNT(K11:K22)</f>
        <v>0</v>
      </c>
      <c r="L24" s="6">
        <f>COUNT(L6:L8)+COUNT(L11:L22)</f>
        <v>0</v>
      </c>
    </row>
    <row r="25" spans="2:20" ht="31.5">
      <c r="B25" s="11" t="s">
        <v>119</v>
      </c>
      <c r="C25" s="16">
        <f>AVERAGE(C6:C22)</f>
        <v>430.3333333333333</v>
      </c>
      <c r="D25" s="16">
        <f>AVERAGE(D6:D22)</f>
        <v>420.7692307692308</v>
      </c>
      <c r="E25" s="16">
        <f>AVERAGE(E6:E22)</f>
        <v>422.06666666666666</v>
      </c>
      <c r="F25" s="16">
        <f>AVERAGE(F6:F22)</f>
        <v>415.8181818181818</v>
      </c>
      <c r="G25" s="16">
        <f>AVERAGE(G6:G22)</f>
        <v>399.1111111111111</v>
      </c>
      <c r="H25" s="16">
        <f>H23/H24</f>
        <v>425.9166666666667</v>
      </c>
      <c r="I25" s="16">
        <f>I23/I24</f>
        <v>406.75</v>
      </c>
      <c r="J25" s="16">
        <f>J23/J24</f>
        <v>410.125</v>
      </c>
      <c r="K25" s="16"/>
      <c r="L25" s="16"/>
      <c r="M25" s="3" t="s">
        <v>29</v>
      </c>
      <c r="N25" s="461" t="s">
        <v>109</v>
      </c>
      <c r="O25" s="461"/>
      <c r="P25" s="3" t="s">
        <v>30</v>
      </c>
      <c r="Q25" s="10" t="s">
        <v>110</v>
      </c>
      <c r="S25" s="63" t="s">
        <v>118</v>
      </c>
      <c r="T25" s="63" t="s">
        <v>209</v>
      </c>
    </row>
    <row r="26" spans="13:20" ht="15.75">
      <c r="M26" s="6">
        <f>SUM(M6:M22)</f>
        <v>40115</v>
      </c>
      <c r="N26" s="1">
        <f>SUM(N6:N22)</f>
        <v>53</v>
      </c>
      <c r="O26" s="1">
        <f>SUM(O6:O22)</f>
        <v>75</v>
      </c>
      <c r="P26" s="1">
        <f>SUM(P6:P22)</f>
        <v>-679</v>
      </c>
      <c r="Q26" s="1">
        <f>SUM(Q6:Q22)</f>
        <v>8</v>
      </c>
      <c r="S26" s="2">
        <f>N26-O26</f>
        <v>-22</v>
      </c>
      <c r="T26" s="2">
        <f>SUM(R23:T23)</f>
        <v>16</v>
      </c>
    </row>
    <row r="27" spans="3:10" ht="15.75">
      <c r="C27" s="463" t="s">
        <v>37</v>
      </c>
      <c r="D27" s="463"/>
      <c r="F27" s="469" t="s">
        <v>124</v>
      </c>
      <c r="G27" s="469"/>
      <c r="I27" s="470" t="s">
        <v>125</v>
      </c>
      <c r="J27" s="470"/>
    </row>
    <row r="28" spans="1:20" ht="16.5" thickBot="1">
      <c r="A28" s="62"/>
      <c r="B28" s="62"/>
      <c r="C28" s="62"/>
      <c r="D28" s="62"/>
      <c r="E28" s="62"/>
      <c r="F28" s="127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123"/>
      <c r="S28" s="123"/>
      <c r="T28" s="123"/>
    </row>
    <row r="30" spans="2:20" ht="32.25" thickBot="1">
      <c r="B30" s="3" t="s">
        <v>24</v>
      </c>
      <c r="C30" s="8" t="s">
        <v>52</v>
      </c>
      <c r="D30" s="8" t="s">
        <v>53</v>
      </c>
      <c r="E30" s="8" t="s">
        <v>54</v>
      </c>
      <c r="F30" s="8" t="s">
        <v>55</v>
      </c>
      <c r="G30" s="8" t="s">
        <v>56</v>
      </c>
      <c r="H30" s="8" t="s">
        <v>263</v>
      </c>
      <c r="I30" s="8" t="s">
        <v>112</v>
      </c>
      <c r="J30" s="8" t="s">
        <v>285</v>
      </c>
      <c r="K30" s="8" t="s">
        <v>305</v>
      </c>
      <c r="L30" s="8"/>
      <c r="M30" s="3" t="s">
        <v>29</v>
      </c>
      <c r="N30" s="3" t="s">
        <v>20</v>
      </c>
      <c r="O30" s="3" t="s">
        <v>28</v>
      </c>
      <c r="P30" s="3" t="s">
        <v>30</v>
      </c>
      <c r="Q30" s="10" t="s">
        <v>108</v>
      </c>
      <c r="R30" s="2" t="s">
        <v>174</v>
      </c>
      <c r="S30" s="2" t="s">
        <v>175</v>
      </c>
      <c r="T30" s="2" t="s">
        <v>176</v>
      </c>
    </row>
    <row r="31" spans="1:18" s="106" customFormat="1" ht="15.75">
      <c r="A31" s="19" t="s">
        <v>145</v>
      </c>
      <c r="B31" s="34" t="s">
        <v>196</v>
      </c>
      <c r="C31" s="102">
        <v>430</v>
      </c>
      <c r="D31" s="250">
        <v>449</v>
      </c>
      <c r="E31" s="250">
        <v>450</v>
      </c>
      <c r="F31" s="34"/>
      <c r="G31" s="34">
        <v>403</v>
      </c>
      <c r="H31" s="250">
        <v>434</v>
      </c>
      <c r="I31" s="34"/>
      <c r="J31" s="34">
        <v>388</v>
      </c>
      <c r="K31" s="95"/>
      <c r="L31" s="95"/>
      <c r="M31" s="105">
        <f>SUM(C31:L31)</f>
        <v>2554</v>
      </c>
      <c r="N31" s="103">
        <v>5</v>
      </c>
      <c r="O31" s="103">
        <v>3</v>
      </c>
      <c r="P31" s="103">
        <v>4</v>
      </c>
      <c r="Q31" s="103">
        <v>2</v>
      </c>
      <c r="R31" s="106">
        <v>1</v>
      </c>
    </row>
    <row r="32" spans="1:20" s="27" customFormat="1" ht="15.75">
      <c r="A32" s="193" t="s">
        <v>146</v>
      </c>
      <c r="B32" s="226" t="s">
        <v>192</v>
      </c>
      <c r="C32" s="47">
        <v>413</v>
      </c>
      <c r="D32" s="252">
        <v>438</v>
      </c>
      <c r="E32" s="35">
        <v>411</v>
      </c>
      <c r="F32" s="39">
        <v>382</v>
      </c>
      <c r="G32" s="39">
        <v>200</v>
      </c>
      <c r="H32" s="252">
        <v>424</v>
      </c>
      <c r="I32" s="39">
        <v>216</v>
      </c>
      <c r="J32" s="35"/>
      <c r="K32" s="257"/>
      <c r="L32" s="257"/>
      <c r="M32" s="128">
        <f aca="true" t="shared" si="1" ref="M32:M47">SUM(C32:L32)</f>
        <v>2484</v>
      </c>
      <c r="N32" s="25">
        <v>2</v>
      </c>
      <c r="O32" s="25">
        <v>6</v>
      </c>
      <c r="P32" s="25">
        <v>-129</v>
      </c>
      <c r="Q32" s="25">
        <v>0</v>
      </c>
      <c r="T32" s="27">
        <v>1</v>
      </c>
    </row>
    <row r="33" spans="1:18" s="211" customFormat="1" ht="15.75">
      <c r="A33" s="83" t="s">
        <v>147</v>
      </c>
      <c r="B33" s="95" t="s">
        <v>272</v>
      </c>
      <c r="C33" s="250">
        <v>430</v>
      </c>
      <c r="D33" s="34">
        <v>420</v>
      </c>
      <c r="E33" s="34">
        <v>396</v>
      </c>
      <c r="F33" s="34"/>
      <c r="G33" s="34"/>
      <c r="H33" s="250">
        <v>436</v>
      </c>
      <c r="I33" s="34">
        <v>394</v>
      </c>
      <c r="J33" s="250">
        <v>433</v>
      </c>
      <c r="K33" s="154"/>
      <c r="L33" s="154"/>
      <c r="M33" s="366">
        <f t="shared" si="1"/>
        <v>2509</v>
      </c>
      <c r="N33" s="204">
        <v>5</v>
      </c>
      <c r="O33" s="204">
        <v>3</v>
      </c>
      <c r="P33" s="204">
        <v>20</v>
      </c>
      <c r="Q33" s="204">
        <v>2</v>
      </c>
      <c r="R33" s="211">
        <v>1</v>
      </c>
    </row>
    <row r="34" spans="1:19" s="27" customFormat="1" ht="15.75">
      <c r="A34" s="87" t="s">
        <v>148</v>
      </c>
      <c r="B34" s="93" t="s">
        <v>19</v>
      </c>
      <c r="C34" s="47">
        <v>407</v>
      </c>
      <c r="D34" s="202">
        <v>435</v>
      </c>
      <c r="E34" s="35">
        <v>424</v>
      </c>
      <c r="F34" s="35"/>
      <c r="G34" s="35"/>
      <c r="H34" s="202">
        <v>431</v>
      </c>
      <c r="I34" s="35">
        <v>401</v>
      </c>
      <c r="J34" s="35">
        <v>423</v>
      </c>
      <c r="K34" s="257"/>
      <c r="L34" s="257"/>
      <c r="M34" s="128">
        <f t="shared" si="1"/>
        <v>2521</v>
      </c>
      <c r="N34" s="25">
        <v>4</v>
      </c>
      <c r="O34" s="25">
        <v>4</v>
      </c>
      <c r="P34" s="25">
        <v>-7</v>
      </c>
      <c r="Q34" s="25">
        <v>1</v>
      </c>
      <c r="S34" s="27">
        <v>1</v>
      </c>
    </row>
    <row r="35" spans="1:18" s="23" customFormat="1" ht="15.75">
      <c r="A35" s="204" t="s">
        <v>149</v>
      </c>
      <c r="B35" s="206" t="s">
        <v>18</v>
      </c>
      <c r="C35" s="250">
        <v>448</v>
      </c>
      <c r="D35" s="250">
        <v>458</v>
      </c>
      <c r="E35" s="250">
        <v>450</v>
      </c>
      <c r="F35" s="34">
        <v>430</v>
      </c>
      <c r="G35" s="250">
        <v>440</v>
      </c>
      <c r="H35" s="34"/>
      <c r="I35" s="34"/>
      <c r="J35" s="34">
        <v>425</v>
      </c>
      <c r="K35" s="254"/>
      <c r="L35" s="254"/>
      <c r="M35" s="58">
        <f t="shared" si="1"/>
        <v>2651</v>
      </c>
      <c r="N35" s="19">
        <v>6</v>
      </c>
      <c r="O35" s="19">
        <v>2</v>
      </c>
      <c r="P35" s="19">
        <v>20</v>
      </c>
      <c r="Q35" s="19">
        <v>2</v>
      </c>
      <c r="R35" s="23">
        <v>1</v>
      </c>
    </row>
    <row r="36" spans="1:20" s="27" customFormat="1" ht="15.75">
      <c r="A36" s="87" t="s">
        <v>150</v>
      </c>
      <c r="B36" s="97" t="s">
        <v>17</v>
      </c>
      <c r="C36" s="47">
        <v>382</v>
      </c>
      <c r="D36" s="202">
        <v>421</v>
      </c>
      <c r="E36" s="35">
        <v>395</v>
      </c>
      <c r="F36" s="202">
        <v>416</v>
      </c>
      <c r="G36" s="35">
        <v>401</v>
      </c>
      <c r="H36" s="35"/>
      <c r="I36" s="35"/>
      <c r="J36" s="35">
        <v>383</v>
      </c>
      <c r="K36" s="257"/>
      <c r="L36" s="257"/>
      <c r="M36" s="128">
        <f t="shared" si="1"/>
        <v>2398</v>
      </c>
      <c r="N36" s="25">
        <v>2</v>
      </c>
      <c r="O36" s="25">
        <v>6</v>
      </c>
      <c r="P36" s="25">
        <v>-251</v>
      </c>
      <c r="Q36" s="25">
        <v>0</v>
      </c>
      <c r="T36" s="27">
        <v>1</v>
      </c>
    </row>
    <row r="37" spans="1:20" s="106" customFormat="1" ht="15.75">
      <c r="A37" s="19" t="s">
        <v>151</v>
      </c>
      <c r="B37" s="102" t="s">
        <v>193</v>
      </c>
      <c r="C37" s="102"/>
      <c r="D37" s="34">
        <v>389</v>
      </c>
      <c r="E37" s="250">
        <v>428</v>
      </c>
      <c r="F37" s="250">
        <v>437</v>
      </c>
      <c r="G37" s="34">
        <v>409</v>
      </c>
      <c r="H37" s="250">
        <v>420</v>
      </c>
      <c r="I37" s="34"/>
      <c r="J37" s="34">
        <v>406</v>
      </c>
      <c r="K37" s="95"/>
      <c r="L37" s="95"/>
      <c r="M37" s="105">
        <f t="shared" si="1"/>
        <v>2489</v>
      </c>
      <c r="N37" s="103">
        <v>3</v>
      </c>
      <c r="O37" s="103">
        <v>5</v>
      </c>
      <c r="P37" s="103">
        <v>-38</v>
      </c>
      <c r="Q37" s="103">
        <v>0</v>
      </c>
      <c r="T37" s="106">
        <v>1</v>
      </c>
    </row>
    <row r="38" spans="1:18" s="27" customFormat="1" ht="15.75">
      <c r="A38" s="87" t="s">
        <v>152</v>
      </c>
      <c r="B38" s="97" t="s">
        <v>241</v>
      </c>
      <c r="C38" s="202">
        <v>427</v>
      </c>
      <c r="D38" s="202">
        <v>464</v>
      </c>
      <c r="E38" s="202">
        <v>449</v>
      </c>
      <c r="F38" s="35">
        <v>426</v>
      </c>
      <c r="G38" s="35">
        <v>391</v>
      </c>
      <c r="H38" s="202">
        <v>456</v>
      </c>
      <c r="I38" s="35"/>
      <c r="J38" s="35"/>
      <c r="K38" s="257"/>
      <c r="L38" s="257"/>
      <c r="M38" s="128">
        <f t="shared" si="1"/>
        <v>2613</v>
      </c>
      <c r="N38" s="25">
        <v>6</v>
      </c>
      <c r="O38" s="25">
        <v>2</v>
      </c>
      <c r="P38" s="25">
        <v>49</v>
      </c>
      <c r="Q38" s="25">
        <v>2</v>
      </c>
      <c r="R38" s="27">
        <v>1</v>
      </c>
    </row>
    <row r="39" spans="1:17" s="148" customFormat="1" ht="15.75">
      <c r="A39" s="145" t="s">
        <v>153</v>
      </c>
      <c r="B39" s="149" t="s">
        <v>234</v>
      </c>
      <c r="C39" s="176"/>
      <c r="D39" s="173"/>
      <c r="E39" s="173"/>
      <c r="F39" s="173"/>
      <c r="G39" s="173"/>
      <c r="H39" s="173"/>
      <c r="I39" s="173"/>
      <c r="J39" s="173"/>
      <c r="K39" s="219"/>
      <c r="L39" s="220"/>
      <c r="M39" s="367" t="s">
        <v>234</v>
      </c>
      <c r="N39" s="368"/>
      <c r="O39" s="368"/>
      <c r="P39" s="368"/>
      <c r="Q39" s="368"/>
    </row>
    <row r="40" spans="1:20" s="27" customFormat="1" ht="15.75">
      <c r="A40" s="87" t="s">
        <v>154</v>
      </c>
      <c r="B40" s="93" t="s">
        <v>242</v>
      </c>
      <c r="C40" s="47">
        <v>399</v>
      </c>
      <c r="D40" s="202">
        <v>420</v>
      </c>
      <c r="E40" s="35">
        <v>387</v>
      </c>
      <c r="F40" s="35">
        <v>418</v>
      </c>
      <c r="G40" s="35"/>
      <c r="H40" s="202">
        <v>450</v>
      </c>
      <c r="I40" s="35"/>
      <c r="J40" s="35">
        <v>420</v>
      </c>
      <c r="K40" s="257"/>
      <c r="L40" s="257"/>
      <c r="M40" s="128">
        <f t="shared" si="1"/>
        <v>2494</v>
      </c>
      <c r="N40" s="25">
        <v>2</v>
      </c>
      <c r="O40" s="25">
        <v>6</v>
      </c>
      <c r="P40" s="25">
        <v>-77</v>
      </c>
      <c r="Q40" s="25">
        <v>0</v>
      </c>
      <c r="T40" s="27">
        <v>1</v>
      </c>
    </row>
    <row r="41" spans="1:20" s="23" customFormat="1" ht="15.75">
      <c r="A41" s="204" t="s">
        <v>155</v>
      </c>
      <c r="B41" s="206" t="s">
        <v>194</v>
      </c>
      <c r="C41" s="102">
        <v>433</v>
      </c>
      <c r="D41" s="250">
        <v>437</v>
      </c>
      <c r="E41" s="34">
        <v>421</v>
      </c>
      <c r="F41" s="34"/>
      <c r="G41" s="34">
        <v>364</v>
      </c>
      <c r="H41" s="34">
        <v>430</v>
      </c>
      <c r="I41" s="34"/>
      <c r="J41" s="250">
        <v>435</v>
      </c>
      <c r="K41" s="254"/>
      <c r="L41" s="254"/>
      <c r="M41" s="58">
        <f t="shared" si="1"/>
        <v>2520</v>
      </c>
      <c r="N41" s="19">
        <v>2</v>
      </c>
      <c r="O41" s="19">
        <v>6</v>
      </c>
      <c r="P41" s="19">
        <v>-154</v>
      </c>
      <c r="Q41" s="19">
        <v>0</v>
      </c>
      <c r="T41" s="23">
        <v>1</v>
      </c>
    </row>
    <row r="42" spans="1:18" s="27" customFormat="1" ht="15.75">
      <c r="A42" s="87" t="s">
        <v>156</v>
      </c>
      <c r="B42" s="101" t="s">
        <v>238</v>
      </c>
      <c r="C42" s="47">
        <v>429</v>
      </c>
      <c r="D42" s="202">
        <v>460</v>
      </c>
      <c r="E42" s="202">
        <v>438</v>
      </c>
      <c r="F42" s="35"/>
      <c r="G42" s="35">
        <v>421</v>
      </c>
      <c r="H42" s="202">
        <v>450</v>
      </c>
      <c r="I42" s="35"/>
      <c r="J42" s="202">
        <v>436</v>
      </c>
      <c r="K42" s="257"/>
      <c r="L42" s="257"/>
      <c r="M42" s="128">
        <f t="shared" si="1"/>
        <v>2634</v>
      </c>
      <c r="N42" s="25">
        <v>6</v>
      </c>
      <c r="O42" s="25">
        <v>2</v>
      </c>
      <c r="P42" s="25">
        <v>124</v>
      </c>
      <c r="Q42" s="25">
        <v>2</v>
      </c>
      <c r="R42" s="27">
        <v>1</v>
      </c>
    </row>
    <row r="43" spans="1:20" s="106" customFormat="1" ht="15.75">
      <c r="A43" s="19" t="s">
        <v>157</v>
      </c>
      <c r="B43" s="102" t="s">
        <v>15</v>
      </c>
      <c r="C43" s="250">
        <v>444</v>
      </c>
      <c r="D43" s="34">
        <v>423</v>
      </c>
      <c r="E43" s="34">
        <v>430</v>
      </c>
      <c r="F43" s="34"/>
      <c r="G43" s="34">
        <v>332</v>
      </c>
      <c r="H43" s="250">
        <v>447</v>
      </c>
      <c r="I43" s="34"/>
      <c r="J43" s="250">
        <v>447</v>
      </c>
      <c r="K43" s="95"/>
      <c r="L43" s="95"/>
      <c r="M43" s="105">
        <f t="shared" si="1"/>
        <v>2523</v>
      </c>
      <c r="N43" s="103">
        <v>3</v>
      </c>
      <c r="O43" s="103">
        <v>5</v>
      </c>
      <c r="P43" s="103">
        <v>-45</v>
      </c>
      <c r="Q43" s="103">
        <v>0</v>
      </c>
      <c r="T43" s="106">
        <v>1</v>
      </c>
    </row>
    <row r="44" spans="1:18" s="27" customFormat="1" ht="15.75">
      <c r="A44" s="87" t="s">
        <v>243</v>
      </c>
      <c r="B44" s="93" t="s">
        <v>21</v>
      </c>
      <c r="C44" s="202">
        <v>422</v>
      </c>
      <c r="D44" s="35">
        <v>419</v>
      </c>
      <c r="E44" s="202">
        <v>437</v>
      </c>
      <c r="F44" s="35"/>
      <c r="G44" s="202">
        <v>428</v>
      </c>
      <c r="H44" s="202">
        <v>454</v>
      </c>
      <c r="I44" s="35"/>
      <c r="J44" s="35">
        <v>415</v>
      </c>
      <c r="K44" s="257"/>
      <c r="L44" s="257"/>
      <c r="M44" s="128">
        <f t="shared" si="1"/>
        <v>2575</v>
      </c>
      <c r="N44" s="25">
        <v>6</v>
      </c>
      <c r="O44" s="25">
        <v>2</v>
      </c>
      <c r="P44" s="25">
        <v>139</v>
      </c>
      <c r="Q44" s="25">
        <v>2</v>
      </c>
      <c r="R44" s="27">
        <v>1</v>
      </c>
    </row>
    <row r="45" spans="1:18" s="231" customFormat="1" ht="15.75">
      <c r="A45" s="25" t="s">
        <v>244</v>
      </c>
      <c r="B45" s="35" t="s">
        <v>25</v>
      </c>
      <c r="C45" s="47">
        <v>423</v>
      </c>
      <c r="D45" s="202">
        <v>459</v>
      </c>
      <c r="E45" s="202">
        <v>463</v>
      </c>
      <c r="F45" s="35"/>
      <c r="G45" s="202">
        <v>446</v>
      </c>
      <c r="H45" s="35">
        <v>420</v>
      </c>
      <c r="I45" s="35"/>
      <c r="J45" s="35">
        <v>409</v>
      </c>
      <c r="K45" s="93"/>
      <c r="L45" s="93"/>
      <c r="M45" s="200">
        <f t="shared" si="1"/>
        <v>2620</v>
      </c>
      <c r="N45" s="193">
        <v>5</v>
      </c>
      <c r="O45" s="193">
        <v>3</v>
      </c>
      <c r="P45" s="193">
        <v>20</v>
      </c>
      <c r="Q45" s="193">
        <v>2</v>
      </c>
      <c r="R45" s="231">
        <v>1</v>
      </c>
    </row>
    <row r="46" spans="1:20" s="106" customFormat="1" ht="15.75">
      <c r="A46" s="19" t="s">
        <v>266</v>
      </c>
      <c r="B46" s="102" t="s">
        <v>22</v>
      </c>
      <c r="C46" s="102">
        <v>416</v>
      </c>
      <c r="D46" s="250">
        <v>458</v>
      </c>
      <c r="E46" s="34">
        <v>413</v>
      </c>
      <c r="F46" s="34"/>
      <c r="G46" s="34">
        <v>390</v>
      </c>
      <c r="H46" s="250">
        <v>472</v>
      </c>
      <c r="I46" s="34"/>
      <c r="J46" s="34"/>
      <c r="K46" s="95">
        <v>401</v>
      </c>
      <c r="L46" s="95"/>
      <c r="M46" s="105">
        <f t="shared" si="1"/>
        <v>2550</v>
      </c>
      <c r="N46" s="103">
        <v>2</v>
      </c>
      <c r="O46" s="103">
        <v>6</v>
      </c>
      <c r="P46" s="103">
        <v>-25</v>
      </c>
      <c r="Q46" s="103">
        <v>0</v>
      </c>
      <c r="T46" s="106">
        <v>1</v>
      </c>
    </row>
    <row r="47" spans="1:20" s="91" customFormat="1" ht="16.5" thickBot="1">
      <c r="A47" s="25" t="s">
        <v>267</v>
      </c>
      <c r="B47" s="35" t="s">
        <v>195</v>
      </c>
      <c r="C47" s="37">
        <v>403</v>
      </c>
      <c r="D47" s="443">
        <v>458</v>
      </c>
      <c r="E47" s="443">
        <v>455</v>
      </c>
      <c r="F47" s="37">
        <v>438</v>
      </c>
      <c r="G47" s="37"/>
      <c r="H47" s="37">
        <v>416</v>
      </c>
      <c r="I47" s="37"/>
      <c r="J47" s="443">
        <v>439</v>
      </c>
      <c r="K47" s="37"/>
      <c r="L47" s="37"/>
      <c r="M47" s="89">
        <f t="shared" si="1"/>
        <v>2609</v>
      </c>
      <c r="N47" s="92">
        <v>3</v>
      </c>
      <c r="O47" s="92">
        <v>5</v>
      </c>
      <c r="P47" s="92">
        <v>-72</v>
      </c>
      <c r="Q47" s="92">
        <v>0</v>
      </c>
      <c r="R47" s="98"/>
      <c r="S47" s="98"/>
      <c r="T47" s="98">
        <v>1</v>
      </c>
    </row>
    <row r="48" spans="3:20" ht="16.5" thickTop="1">
      <c r="C48" s="61">
        <f aca="true" t="shared" si="2" ref="C48:H48">SUM(C31:C47)</f>
        <v>6306</v>
      </c>
      <c r="D48" s="61">
        <f t="shared" si="2"/>
        <v>7008</v>
      </c>
      <c r="E48" s="61">
        <f t="shared" si="2"/>
        <v>6847</v>
      </c>
      <c r="F48" s="61">
        <f t="shared" si="2"/>
        <v>2947</v>
      </c>
      <c r="G48" s="6">
        <f>SUM(G31)+SUM(G33:G47)</f>
        <v>4425</v>
      </c>
      <c r="H48" s="61">
        <f t="shared" si="2"/>
        <v>6140</v>
      </c>
      <c r="I48" s="6">
        <f>SUM(I31)+SUM(I33:I47)</f>
        <v>795</v>
      </c>
      <c r="J48" s="61">
        <f>SUM(J31:J47)</f>
        <v>5459</v>
      </c>
      <c r="K48" s="61">
        <f>SUM(K31:K47)</f>
        <v>401</v>
      </c>
      <c r="L48" s="61">
        <f>SUM(L31:L47)</f>
        <v>0</v>
      </c>
      <c r="N48" s="1">
        <f>SUM(N31:N47)</f>
        <v>62</v>
      </c>
      <c r="O48" s="1">
        <f>SUM(O31:O47)</f>
        <v>66</v>
      </c>
      <c r="P48" s="1">
        <f>SUM(P31:P47)</f>
        <v>-422</v>
      </c>
      <c r="Q48" s="1">
        <f>SUM(Q31:Q47)</f>
        <v>15</v>
      </c>
      <c r="R48" s="1">
        <f>SUM(R31:R47)+R23</f>
        <v>11</v>
      </c>
      <c r="S48" s="1">
        <f>SUM(S31:S47)+S23</f>
        <v>1</v>
      </c>
      <c r="T48" s="1">
        <f>SUM(T31:T47)+T23</f>
        <v>20</v>
      </c>
    </row>
    <row r="49" spans="2:12" ht="15.75">
      <c r="B49" s="57" t="s">
        <v>231</v>
      </c>
      <c r="C49" s="16">
        <f>COUNT(C31:C47)</f>
        <v>15</v>
      </c>
      <c r="D49" s="16">
        <f aca="true" t="shared" si="3" ref="D49:L49">COUNT(D31:D47)</f>
        <v>16</v>
      </c>
      <c r="E49" s="16">
        <f t="shared" si="3"/>
        <v>16</v>
      </c>
      <c r="F49" s="16">
        <f t="shared" si="3"/>
        <v>7</v>
      </c>
      <c r="G49" s="6">
        <f>COUNT(G31)+COUNT(G33:G47)</f>
        <v>11</v>
      </c>
      <c r="H49" s="16">
        <f t="shared" si="3"/>
        <v>14</v>
      </c>
      <c r="I49" s="6">
        <f>COUNT(I31)+COUNT(I33:I47)</f>
        <v>2</v>
      </c>
      <c r="J49" s="16">
        <f t="shared" si="3"/>
        <v>13</v>
      </c>
      <c r="K49" s="16">
        <f t="shared" si="3"/>
        <v>1</v>
      </c>
      <c r="L49" s="16">
        <f t="shared" si="3"/>
        <v>0</v>
      </c>
    </row>
    <row r="50" spans="2:20" ht="31.5">
      <c r="B50" s="11" t="s">
        <v>230</v>
      </c>
      <c r="C50" s="16">
        <f aca="true" t="shared" si="4" ref="C50:K50">C48/C49</f>
        <v>420.4</v>
      </c>
      <c r="D50" s="16">
        <f t="shared" si="4"/>
        <v>438</v>
      </c>
      <c r="E50" s="16">
        <f t="shared" si="4"/>
        <v>427.9375</v>
      </c>
      <c r="F50" s="16">
        <f t="shared" si="4"/>
        <v>421</v>
      </c>
      <c r="G50" s="16">
        <f t="shared" si="4"/>
        <v>402.27272727272725</v>
      </c>
      <c r="H50" s="16">
        <f t="shared" si="4"/>
        <v>438.57142857142856</v>
      </c>
      <c r="I50" s="16">
        <f t="shared" si="4"/>
        <v>397.5</v>
      </c>
      <c r="J50" s="16">
        <f t="shared" si="4"/>
        <v>419.9230769230769</v>
      </c>
      <c r="K50" s="16">
        <f t="shared" si="4"/>
        <v>401</v>
      </c>
      <c r="L50" s="16"/>
      <c r="M50" s="3" t="s">
        <v>29</v>
      </c>
      <c r="N50" s="461" t="s">
        <v>109</v>
      </c>
      <c r="O50" s="461"/>
      <c r="P50" s="3" t="s">
        <v>30</v>
      </c>
      <c r="Q50" s="10" t="s">
        <v>110</v>
      </c>
      <c r="S50" s="63" t="s">
        <v>118</v>
      </c>
      <c r="T50" s="63" t="s">
        <v>209</v>
      </c>
    </row>
    <row r="51" spans="13:20" ht="15.75">
      <c r="M51" s="6">
        <f>SUM(M31:M47)+M26</f>
        <v>80859</v>
      </c>
      <c r="N51" s="6">
        <f>SUM(N31:N47)+N26</f>
        <v>115</v>
      </c>
      <c r="O51" s="6">
        <f>SUM(O31:O47)+O26</f>
        <v>141</v>
      </c>
      <c r="P51" s="6">
        <f>SUM(P31:P47)+P26</f>
        <v>-1101</v>
      </c>
      <c r="Q51" s="6">
        <f>SUM(Q31:Q47)+Q26</f>
        <v>23</v>
      </c>
      <c r="S51" s="2">
        <f>N51-O51</f>
        <v>-26</v>
      </c>
      <c r="T51" s="2">
        <f>SUM(R48:T48)</f>
        <v>32</v>
      </c>
    </row>
    <row r="53" spans="13:14" ht="15.75">
      <c r="M53" s="1" t="s">
        <v>120</v>
      </c>
      <c r="N53" s="18">
        <f>M51/T51</f>
        <v>2526.84375</v>
      </c>
    </row>
  </sheetData>
  <sheetProtection/>
  <mergeCells count="11">
    <mergeCell ref="N25:O25"/>
    <mergeCell ref="F27:G27"/>
    <mergeCell ref="E1:F1"/>
    <mergeCell ref="H1:I1"/>
    <mergeCell ref="K1:L1"/>
    <mergeCell ref="K2:L2"/>
    <mergeCell ref="N50:O50"/>
    <mergeCell ref="I27:J27"/>
    <mergeCell ref="C4:L4"/>
    <mergeCell ref="N4:O4"/>
    <mergeCell ref="C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U54"/>
  <sheetViews>
    <sheetView zoomScale="90" zoomScaleNormal="90" zoomScalePageLayoutView="0" workbookViewId="0" topLeftCell="B28">
      <selection activeCell="F48" sqref="F48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9.25390625" style="1" customWidth="1"/>
    <col min="4" max="5" width="14.00390625" style="1" customWidth="1"/>
    <col min="6" max="6" width="9.125" style="1" customWidth="1"/>
    <col min="7" max="7" width="11.375" style="1" customWidth="1"/>
    <col min="8" max="11" width="9.125" style="1" customWidth="1"/>
    <col min="12" max="12" width="12.00390625" style="1" customWidth="1"/>
    <col min="13" max="13" width="11.875" style="1" customWidth="1"/>
    <col min="14" max="14" width="16.75390625" style="1" customWidth="1"/>
    <col min="15" max="15" width="11.25390625" style="1" customWidth="1"/>
    <col min="16" max="16" width="10.375" style="1" customWidth="1"/>
    <col min="17" max="17" width="13.375" style="1" customWidth="1"/>
    <col min="18" max="18" width="14.625" style="1" customWidth="1"/>
    <col min="20" max="20" width="12.25390625" style="0" customWidth="1"/>
    <col min="21" max="21" width="12.125" style="0" customWidth="1"/>
  </cols>
  <sheetData>
    <row r="1" spans="1:18" ht="15.75">
      <c r="A1" s="48" t="s">
        <v>133</v>
      </c>
      <c r="B1" s="49"/>
      <c r="C1" s="48" t="s">
        <v>138</v>
      </c>
      <c r="D1" s="51"/>
      <c r="E1" s="51"/>
      <c r="F1" s="49" t="s">
        <v>137</v>
      </c>
      <c r="G1" s="459" t="s">
        <v>290</v>
      </c>
      <c r="H1" s="459"/>
      <c r="I1" s="49"/>
      <c r="K1" s="461" t="s">
        <v>143</v>
      </c>
      <c r="L1" s="461"/>
      <c r="M1" s="3" t="s">
        <v>144</v>
      </c>
      <c r="N1" s="465" t="s">
        <v>118</v>
      </c>
      <c r="O1" s="465"/>
      <c r="Q1" s="122" t="s">
        <v>120</v>
      </c>
      <c r="R1" s="18">
        <f>N26/U26</f>
        <v>2567</v>
      </c>
    </row>
    <row r="2" spans="11:18" ht="15.75">
      <c r="K2" s="1">
        <f>O26+O49</f>
        <v>128</v>
      </c>
      <c r="L2" s="1">
        <f>P26+P49</f>
        <v>128</v>
      </c>
      <c r="M2" s="1">
        <f>R26+R49</f>
        <v>31</v>
      </c>
      <c r="N2" s="460">
        <f>K2-L2</f>
        <v>0</v>
      </c>
      <c r="O2" s="460"/>
      <c r="Q2" s="122" t="s">
        <v>216</v>
      </c>
      <c r="R2" s="6">
        <f>N7+N11+N13+N15+N17+N20+N22+N32+N34+N36+N37+N39+N41+N43+N45+N47</f>
        <v>40538</v>
      </c>
    </row>
    <row r="4" spans="3:21" ht="18" customHeight="1">
      <c r="C4" s="461" t="s">
        <v>26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O4" s="461" t="s">
        <v>27</v>
      </c>
      <c r="P4" s="461"/>
      <c r="S4" s="2"/>
      <c r="T4" s="2"/>
      <c r="U4" s="2"/>
    </row>
    <row r="5" spans="2:21" ht="33" customHeight="1" thickBot="1">
      <c r="B5" s="3" t="s">
        <v>24</v>
      </c>
      <c r="C5" s="8" t="s">
        <v>275</v>
      </c>
      <c r="D5" s="8" t="s">
        <v>72</v>
      </c>
      <c r="E5" s="8" t="s">
        <v>269</v>
      </c>
      <c r="F5" s="8" t="s">
        <v>73</v>
      </c>
      <c r="G5" s="8" t="s">
        <v>74</v>
      </c>
      <c r="H5" s="8" t="s">
        <v>75</v>
      </c>
      <c r="I5" s="180" t="s">
        <v>276</v>
      </c>
      <c r="J5" s="8" t="s">
        <v>116</v>
      </c>
      <c r="K5" s="8" t="s">
        <v>76</v>
      </c>
      <c r="L5" s="8" t="s">
        <v>93</v>
      </c>
      <c r="M5" s="8" t="s">
        <v>186</v>
      </c>
      <c r="N5" s="3" t="s">
        <v>29</v>
      </c>
      <c r="O5" s="60" t="s">
        <v>192</v>
      </c>
      <c r="P5" s="3" t="s">
        <v>28</v>
      </c>
      <c r="Q5" s="3" t="s">
        <v>30</v>
      </c>
      <c r="R5" s="10" t="s">
        <v>108</v>
      </c>
      <c r="S5" s="2" t="s">
        <v>174</v>
      </c>
      <c r="T5" s="2" t="s">
        <v>175</v>
      </c>
      <c r="U5" s="2" t="s">
        <v>176</v>
      </c>
    </row>
    <row r="6" spans="1:21" s="85" customFormat="1" ht="15.75">
      <c r="A6" s="19" t="s">
        <v>0</v>
      </c>
      <c r="B6" s="36" t="s">
        <v>17</v>
      </c>
      <c r="C6" s="250">
        <v>447</v>
      </c>
      <c r="D6" s="34"/>
      <c r="E6" s="34"/>
      <c r="F6" s="34"/>
      <c r="G6" s="250">
        <v>428</v>
      </c>
      <c r="H6" s="34">
        <v>419</v>
      </c>
      <c r="I6" s="250">
        <v>441</v>
      </c>
      <c r="J6" s="34"/>
      <c r="K6" s="34">
        <v>364</v>
      </c>
      <c r="L6" s="34">
        <v>396</v>
      </c>
      <c r="M6" s="30"/>
      <c r="N6" s="109">
        <f>SUM(C6:M6)</f>
        <v>2495</v>
      </c>
      <c r="O6" s="83">
        <v>3</v>
      </c>
      <c r="P6" s="83">
        <v>5</v>
      </c>
      <c r="Q6" s="109">
        <v>-82</v>
      </c>
      <c r="R6" s="83">
        <v>0</v>
      </c>
      <c r="S6" s="84"/>
      <c r="T6" s="84"/>
      <c r="U6" s="84">
        <v>1</v>
      </c>
    </row>
    <row r="7" spans="1:21" s="91" customFormat="1" ht="15.75">
      <c r="A7" s="25" t="s">
        <v>1</v>
      </c>
      <c r="B7" s="39" t="s">
        <v>193</v>
      </c>
      <c r="C7" s="202">
        <v>417</v>
      </c>
      <c r="D7" s="35"/>
      <c r="E7" s="35"/>
      <c r="F7" s="202">
        <v>429</v>
      </c>
      <c r="G7" s="202">
        <v>401</v>
      </c>
      <c r="H7" s="202">
        <v>425</v>
      </c>
      <c r="I7" s="202">
        <v>437</v>
      </c>
      <c r="J7" s="35"/>
      <c r="K7" s="35">
        <v>385</v>
      </c>
      <c r="L7" s="35"/>
      <c r="M7" s="33"/>
      <c r="N7" s="86">
        <f>SUM(C7:M7)</f>
        <v>2494</v>
      </c>
      <c r="O7" s="87">
        <v>7</v>
      </c>
      <c r="P7" s="87">
        <v>1</v>
      </c>
      <c r="Q7" s="86">
        <v>76</v>
      </c>
      <c r="R7" s="87">
        <v>2</v>
      </c>
      <c r="S7" s="90">
        <v>1</v>
      </c>
      <c r="T7" s="90"/>
      <c r="U7" s="90"/>
    </row>
    <row r="8" spans="1:21" s="102" customFormat="1" ht="15.75">
      <c r="A8" s="102" t="s">
        <v>2</v>
      </c>
      <c r="B8" s="36" t="s">
        <v>241</v>
      </c>
      <c r="C8" s="102">
        <v>421</v>
      </c>
      <c r="F8" s="102">
        <v>399</v>
      </c>
      <c r="G8" s="102">
        <v>403</v>
      </c>
      <c r="H8" s="102">
        <v>418</v>
      </c>
      <c r="I8" s="250">
        <v>443</v>
      </c>
      <c r="J8" s="102">
        <v>414</v>
      </c>
      <c r="M8" s="325"/>
      <c r="N8" s="168">
        <f>SUM(C8:M8)</f>
        <v>2498</v>
      </c>
      <c r="O8" s="102">
        <v>1</v>
      </c>
      <c r="P8" s="102">
        <v>7</v>
      </c>
      <c r="Q8" s="102">
        <v>-78</v>
      </c>
      <c r="R8" s="102">
        <v>0</v>
      </c>
      <c r="U8" s="102">
        <v>1</v>
      </c>
    </row>
    <row r="9" spans="1:21" s="146" customFormat="1" ht="15.75">
      <c r="A9" s="146" t="s">
        <v>3</v>
      </c>
      <c r="B9" s="149" t="s">
        <v>234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4"/>
      <c r="N9" s="175" t="s">
        <v>234</v>
      </c>
      <c r="O9" s="176"/>
      <c r="P9" s="176"/>
      <c r="Q9" s="177"/>
      <c r="R9" s="176"/>
      <c r="S9" s="176"/>
      <c r="T9" s="176"/>
      <c r="U9" s="176"/>
    </row>
    <row r="10" spans="1:21" s="95" customFormat="1" ht="15.75">
      <c r="A10" s="95" t="s">
        <v>4</v>
      </c>
      <c r="B10" s="95" t="s">
        <v>242</v>
      </c>
      <c r="C10" s="201">
        <v>473</v>
      </c>
      <c r="G10" s="201">
        <v>421</v>
      </c>
      <c r="H10" s="95">
        <v>392</v>
      </c>
      <c r="K10" s="95">
        <v>376</v>
      </c>
      <c r="L10" s="201">
        <v>418</v>
      </c>
      <c r="M10" s="111">
        <v>366</v>
      </c>
      <c r="N10" s="292">
        <f aca="true" t="shared" si="0" ref="N10:N22">SUM(C10:M10)</f>
        <v>2446</v>
      </c>
      <c r="O10" s="95">
        <v>3</v>
      </c>
      <c r="P10" s="95">
        <v>5</v>
      </c>
      <c r="Q10" s="292">
        <v>-76</v>
      </c>
      <c r="R10" s="95">
        <v>0</v>
      </c>
      <c r="U10" s="95">
        <v>1</v>
      </c>
    </row>
    <row r="11" spans="1:21" s="282" customFormat="1" ht="15.75">
      <c r="A11" s="282" t="s">
        <v>5</v>
      </c>
      <c r="B11" s="282" t="s">
        <v>194</v>
      </c>
      <c r="C11" s="330">
        <v>492</v>
      </c>
      <c r="D11" s="155"/>
      <c r="E11" s="155"/>
      <c r="F11" s="330">
        <v>472</v>
      </c>
      <c r="G11" s="330">
        <v>477</v>
      </c>
      <c r="H11" s="155">
        <v>436</v>
      </c>
      <c r="I11" s="155"/>
      <c r="J11" s="155">
        <v>391</v>
      </c>
      <c r="K11" s="155">
        <v>404</v>
      </c>
      <c r="L11" s="155"/>
      <c r="M11" s="283"/>
      <c r="N11" s="284">
        <f t="shared" si="0"/>
        <v>2672</v>
      </c>
      <c r="O11" s="282">
        <v>3</v>
      </c>
      <c r="P11" s="282">
        <v>5</v>
      </c>
      <c r="Q11" s="284">
        <v>-3</v>
      </c>
      <c r="R11" s="282">
        <v>0</v>
      </c>
      <c r="U11" s="282">
        <v>1</v>
      </c>
    </row>
    <row r="12" spans="1:19" s="285" customFormat="1" ht="15.75">
      <c r="A12" s="285" t="s">
        <v>6</v>
      </c>
      <c r="B12" s="296" t="s">
        <v>238</v>
      </c>
      <c r="C12" s="339">
        <v>465</v>
      </c>
      <c r="D12" s="184"/>
      <c r="E12" s="184">
        <v>216</v>
      </c>
      <c r="F12" s="339">
        <v>469</v>
      </c>
      <c r="G12" s="339">
        <v>453</v>
      </c>
      <c r="H12" s="184">
        <v>403</v>
      </c>
      <c r="I12" s="339">
        <v>439</v>
      </c>
      <c r="J12" s="184"/>
      <c r="K12" s="184">
        <v>155</v>
      </c>
      <c r="L12" s="184"/>
      <c r="M12" s="286"/>
      <c r="N12" s="287">
        <f t="shared" si="0"/>
        <v>2600</v>
      </c>
      <c r="O12" s="285">
        <v>6</v>
      </c>
      <c r="P12" s="285">
        <v>2</v>
      </c>
      <c r="Q12" s="287">
        <v>180</v>
      </c>
      <c r="R12" s="285">
        <v>2</v>
      </c>
      <c r="S12" s="285">
        <v>1</v>
      </c>
    </row>
    <row r="13" spans="1:21" s="225" customFormat="1" ht="15.75">
      <c r="A13" s="225" t="s">
        <v>7</v>
      </c>
      <c r="B13" s="225" t="s">
        <v>15</v>
      </c>
      <c r="C13" s="251">
        <v>441</v>
      </c>
      <c r="D13" s="226"/>
      <c r="E13" s="226"/>
      <c r="F13" s="251">
        <v>444</v>
      </c>
      <c r="G13" s="226">
        <v>409</v>
      </c>
      <c r="H13" s="226">
        <v>426</v>
      </c>
      <c r="I13" s="251">
        <v>436</v>
      </c>
      <c r="J13" s="226">
        <v>403</v>
      </c>
      <c r="K13" s="226"/>
      <c r="L13" s="226"/>
      <c r="M13" s="228"/>
      <c r="N13" s="319">
        <f t="shared" si="0"/>
        <v>2559</v>
      </c>
      <c r="O13" s="225">
        <v>3</v>
      </c>
      <c r="P13" s="225">
        <v>5</v>
      </c>
      <c r="Q13" s="319">
        <v>-70</v>
      </c>
      <c r="R13" s="225">
        <v>0</v>
      </c>
      <c r="U13" s="225">
        <v>1</v>
      </c>
    </row>
    <row r="14" spans="1:19" s="288" customFormat="1" ht="15.75">
      <c r="A14" s="288" t="s">
        <v>8</v>
      </c>
      <c r="B14" s="254" t="s">
        <v>21</v>
      </c>
      <c r="C14" s="344">
        <v>467</v>
      </c>
      <c r="D14" s="254"/>
      <c r="E14" s="254">
        <v>421</v>
      </c>
      <c r="F14" s="344">
        <v>481</v>
      </c>
      <c r="G14" s="344">
        <v>463</v>
      </c>
      <c r="H14" s="254">
        <v>432</v>
      </c>
      <c r="I14" s="344">
        <v>451</v>
      </c>
      <c r="J14" s="254"/>
      <c r="K14" s="254"/>
      <c r="L14" s="254"/>
      <c r="M14" s="255"/>
      <c r="N14" s="290">
        <f t="shared" si="0"/>
        <v>2715</v>
      </c>
      <c r="O14" s="288">
        <v>6</v>
      </c>
      <c r="P14" s="288">
        <v>2</v>
      </c>
      <c r="Q14" s="290">
        <v>219</v>
      </c>
      <c r="R14" s="288">
        <v>2</v>
      </c>
      <c r="S14" s="288">
        <v>1</v>
      </c>
    </row>
    <row r="15" spans="1:19" s="256" customFormat="1" ht="15.75">
      <c r="A15" s="256" t="s">
        <v>9</v>
      </c>
      <c r="B15" s="257" t="s">
        <v>20</v>
      </c>
      <c r="C15" s="346">
        <v>459</v>
      </c>
      <c r="D15" s="257"/>
      <c r="E15" s="346">
        <v>427</v>
      </c>
      <c r="F15" s="257"/>
      <c r="G15" s="257">
        <v>421</v>
      </c>
      <c r="H15" s="346">
        <v>449</v>
      </c>
      <c r="I15" s="346">
        <v>434</v>
      </c>
      <c r="J15" s="257">
        <v>407</v>
      </c>
      <c r="K15" s="257"/>
      <c r="L15" s="257"/>
      <c r="M15" s="258"/>
      <c r="N15" s="294">
        <f t="shared" si="0"/>
        <v>2597</v>
      </c>
      <c r="O15" s="256">
        <v>6</v>
      </c>
      <c r="P15" s="256">
        <v>2</v>
      </c>
      <c r="Q15" s="294">
        <v>89</v>
      </c>
      <c r="R15" s="256">
        <v>2</v>
      </c>
      <c r="S15" s="256">
        <v>1</v>
      </c>
    </row>
    <row r="16" spans="1:19" s="102" customFormat="1" ht="15.75">
      <c r="A16" s="102" t="s">
        <v>10</v>
      </c>
      <c r="B16" s="102" t="s">
        <v>22</v>
      </c>
      <c r="C16" s="34">
        <v>429</v>
      </c>
      <c r="D16" s="34"/>
      <c r="E16" s="250">
        <v>448</v>
      </c>
      <c r="F16" s="250">
        <v>489</v>
      </c>
      <c r="G16" s="34">
        <v>440</v>
      </c>
      <c r="H16" s="250">
        <v>459</v>
      </c>
      <c r="I16" s="34">
        <v>416</v>
      </c>
      <c r="J16" s="34"/>
      <c r="K16" s="34"/>
      <c r="L16" s="34"/>
      <c r="M16" s="30"/>
      <c r="N16" s="168">
        <f t="shared" si="0"/>
        <v>2681</v>
      </c>
      <c r="O16" s="102">
        <v>5</v>
      </c>
      <c r="P16" s="102">
        <v>3</v>
      </c>
      <c r="Q16" s="168">
        <v>86</v>
      </c>
      <c r="R16" s="102">
        <v>2</v>
      </c>
      <c r="S16" s="102">
        <v>1</v>
      </c>
    </row>
    <row r="17" spans="1:19" s="47" customFormat="1" ht="15.75">
      <c r="A17" s="47" t="s">
        <v>11</v>
      </c>
      <c r="B17" s="35" t="s">
        <v>195</v>
      </c>
      <c r="C17" s="35">
        <v>413</v>
      </c>
      <c r="D17" s="35"/>
      <c r="E17" s="35">
        <v>417</v>
      </c>
      <c r="F17" s="35"/>
      <c r="G17" s="202">
        <v>418</v>
      </c>
      <c r="H17" s="202">
        <v>442</v>
      </c>
      <c r="I17" s="202">
        <v>430</v>
      </c>
      <c r="J17" s="35"/>
      <c r="K17" s="35">
        <v>401</v>
      </c>
      <c r="L17" s="35"/>
      <c r="M17" s="33"/>
      <c r="N17" s="245">
        <f t="shared" si="0"/>
        <v>2521</v>
      </c>
      <c r="O17" s="47">
        <v>5</v>
      </c>
      <c r="P17" s="47">
        <v>3</v>
      </c>
      <c r="Q17" s="245">
        <v>6</v>
      </c>
      <c r="R17" s="47">
        <v>2</v>
      </c>
      <c r="S17" s="47">
        <v>1</v>
      </c>
    </row>
    <row r="18" spans="1:21" s="96" customFormat="1" ht="15.75">
      <c r="A18" s="96" t="s">
        <v>12</v>
      </c>
      <c r="B18" s="95" t="s">
        <v>196</v>
      </c>
      <c r="C18" s="95">
        <v>428</v>
      </c>
      <c r="D18" s="95"/>
      <c r="E18" s="95">
        <v>412</v>
      </c>
      <c r="F18" s="95"/>
      <c r="G18" s="95">
        <v>409</v>
      </c>
      <c r="H18" s="201">
        <v>436</v>
      </c>
      <c r="I18" s="201">
        <v>439</v>
      </c>
      <c r="J18" s="95"/>
      <c r="K18" s="95">
        <v>356</v>
      </c>
      <c r="L18" s="95"/>
      <c r="M18" s="111"/>
      <c r="N18" s="295">
        <f t="shared" si="0"/>
        <v>2480</v>
      </c>
      <c r="O18" s="96">
        <v>2</v>
      </c>
      <c r="P18" s="96">
        <v>6</v>
      </c>
      <c r="Q18" s="96">
        <v>-163</v>
      </c>
      <c r="R18" s="96">
        <v>0</v>
      </c>
      <c r="U18" s="96">
        <v>1</v>
      </c>
    </row>
    <row r="19" spans="1:21" s="96" customFormat="1" ht="15.75">
      <c r="A19" s="96" t="s">
        <v>13</v>
      </c>
      <c r="B19" s="95" t="s">
        <v>25</v>
      </c>
      <c r="C19" s="201">
        <v>456</v>
      </c>
      <c r="D19" s="95"/>
      <c r="E19" s="95">
        <v>430</v>
      </c>
      <c r="F19" s="95"/>
      <c r="G19" s="201">
        <v>458</v>
      </c>
      <c r="H19" s="201">
        <v>481</v>
      </c>
      <c r="I19" s="95"/>
      <c r="J19" s="95"/>
      <c r="K19" s="95">
        <v>386</v>
      </c>
      <c r="L19" s="95"/>
      <c r="M19" s="111">
        <v>373</v>
      </c>
      <c r="N19" s="295">
        <f t="shared" si="0"/>
        <v>2584</v>
      </c>
      <c r="O19" s="96">
        <v>3</v>
      </c>
      <c r="P19" s="96">
        <v>5</v>
      </c>
      <c r="Q19" s="295">
        <v>-98</v>
      </c>
      <c r="R19" s="96">
        <v>0</v>
      </c>
      <c r="U19" s="96">
        <v>1</v>
      </c>
    </row>
    <row r="20" spans="1:19" s="282" customFormat="1" ht="15.75">
      <c r="A20" s="282" t="s">
        <v>14</v>
      </c>
      <c r="B20" s="155" t="s">
        <v>272</v>
      </c>
      <c r="C20" s="330">
        <v>442</v>
      </c>
      <c r="D20" s="155"/>
      <c r="E20" s="330">
        <v>427</v>
      </c>
      <c r="F20" s="155"/>
      <c r="G20" s="330">
        <v>433</v>
      </c>
      <c r="H20" s="330">
        <v>430</v>
      </c>
      <c r="I20" s="155">
        <v>417</v>
      </c>
      <c r="J20" s="155"/>
      <c r="K20" s="155"/>
      <c r="L20" s="155">
        <v>399</v>
      </c>
      <c r="M20" s="283"/>
      <c r="N20" s="284">
        <f t="shared" si="0"/>
        <v>2548</v>
      </c>
      <c r="O20" s="282">
        <v>6</v>
      </c>
      <c r="P20" s="282">
        <v>2</v>
      </c>
      <c r="Q20" s="284">
        <v>66</v>
      </c>
      <c r="R20" s="282">
        <v>2</v>
      </c>
      <c r="S20" s="282">
        <v>1</v>
      </c>
    </row>
    <row r="21" spans="1:19" s="285" customFormat="1" ht="15.75">
      <c r="A21" s="285" t="s">
        <v>239</v>
      </c>
      <c r="B21" s="184" t="s">
        <v>19</v>
      </c>
      <c r="C21" s="339">
        <v>459</v>
      </c>
      <c r="D21" s="184"/>
      <c r="E21" s="184">
        <v>416</v>
      </c>
      <c r="F21" s="184"/>
      <c r="G21" s="184">
        <v>420</v>
      </c>
      <c r="H21" s="339">
        <v>462</v>
      </c>
      <c r="I21" s="339">
        <v>465</v>
      </c>
      <c r="J21" s="184"/>
      <c r="K21" s="339">
        <v>434</v>
      </c>
      <c r="L21" s="184"/>
      <c r="M21" s="286"/>
      <c r="N21" s="287">
        <f t="shared" si="0"/>
        <v>2656</v>
      </c>
      <c r="O21" s="285">
        <v>6</v>
      </c>
      <c r="P21" s="285">
        <v>2</v>
      </c>
      <c r="Q21" s="287">
        <v>58</v>
      </c>
      <c r="R21" s="285">
        <v>2</v>
      </c>
      <c r="S21" s="285">
        <v>1</v>
      </c>
    </row>
    <row r="22" spans="1:21" s="225" customFormat="1" ht="16.5" thickBot="1">
      <c r="A22" s="225" t="s">
        <v>240</v>
      </c>
      <c r="B22" s="225" t="s">
        <v>18</v>
      </c>
      <c r="C22" s="357">
        <v>455</v>
      </c>
      <c r="D22" s="235"/>
      <c r="E22" s="357">
        <v>441</v>
      </c>
      <c r="F22" s="235"/>
      <c r="G22" s="357">
        <v>452</v>
      </c>
      <c r="H22" s="235">
        <v>372</v>
      </c>
      <c r="I22" s="235">
        <v>415</v>
      </c>
      <c r="J22" s="235"/>
      <c r="K22" s="235">
        <v>391</v>
      </c>
      <c r="L22" s="235"/>
      <c r="M22" s="298"/>
      <c r="N22" s="299">
        <f t="shared" si="0"/>
        <v>2526</v>
      </c>
      <c r="O22" s="297">
        <v>3</v>
      </c>
      <c r="P22" s="297">
        <v>5</v>
      </c>
      <c r="Q22" s="299">
        <v>-177</v>
      </c>
      <c r="R22" s="297">
        <v>0</v>
      </c>
      <c r="S22" s="297"/>
      <c r="T22" s="297"/>
      <c r="U22" s="297">
        <v>1</v>
      </c>
    </row>
    <row r="23" spans="3:21" ht="16.5" thickTop="1">
      <c r="C23" s="6">
        <f aca="true" t="shared" si="1" ref="C23:L23">SUM(C6:C22)</f>
        <v>7164</v>
      </c>
      <c r="D23" s="6">
        <f>SUM(D6:D10)+SUM(D12:D22)</f>
        <v>0</v>
      </c>
      <c r="E23" s="6">
        <f>SUM(E6:E10)+SUM(E13:E22)</f>
        <v>3839</v>
      </c>
      <c r="F23" s="6">
        <f t="shared" si="1"/>
        <v>3183</v>
      </c>
      <c r="G23" s="6">
        <f t="shared" si="1"/>
        <v>6906</v>
      </c>
      <c r="H23" s="6">
        <f t="shared" si="1"/>
        <v>6882</v>
      </c>
      <c r="I23" s="6">
        <f t="shared" si="1"/>
        <v>5663</v>
      </c>
      <c r="J23" s="6">
        <f t="shared" si="1"/>
        <v>1615</v>
      </c>
      <c r="K23" s="6">
        <f>SUM(K6:K11)+SUM(K13:K22)</f>
        <v>3497</v>
      </c>
      <c r="L23" s="6">
        <f t="shared" si="1"/>
        <v>1213</v>
      </c>
      <c r="M23" s="6">
        <f>SUM(M6:M10)+SUM(M12:M22)</f>
        <v>739</v>
      </c>
      <c r="S23" s="2">
        <f>SUM(S6:S22)</f>
        <v>8</v>
      </c>
      <c r="T23" s="2">
        <f>SUM(T6:T22)</f>
        <v>0</v>
      </c>
      <c r="U23" s="2">
        <f>SUM(U6:U22)</f>
        <v>8</v>
      </c>
    </row>
    <row r="24" spans="2:13" ht="15.75">
      <c r="B24" s="1" t="s">
        <v>211</v>
      </c>
      <c r="C24" s="6">
        <f>COUNT(C6:C22)</f>
        <v>16</v>
      </c>
      <c r="D24" s="6">
        <f>COUNT(D6:D10)+COUNT(D12:D22)</f>
        <v>0</v>
      </c>
      <c r="E24" s="6">
        <f>COUNT(E6:E10)+COUNT(E13:E22)</f>
        <v>9</v>
      </c>
      <c r="F24" s="6">
        <f aca="true" t="shared" si="2" ref="F24:L24">COUNT(F6:F22)</f>
        <v>7</v>
      </c>
      <c r="G24" s="6">
        <f t="shared" si="2"/>
        <v>16</v>
      </c>
      <c r="H24" s="6">
        <f t="shared" si="2"/>
        <v>16</v>
      </c>
      <c r="I24" s="6">
        <f>COUNT(I6:I22)</f>
        <v>13</v>
      </c>
      <c r="J24" s="6">
        <f t="shared" si="2"/>
        <v>4</v>
      </c>
      <c r="K24" s="6">
        <f>COUNT(K6:K11)+COUNT(K13:K22)</f>
        <v>9</v>
      </c>
      <c r="L24" s="6">
        <f t="shared" si="2"/>
        <v>3</v>
      </c>
      <c r="M24" s="6">
        <f>COUNT(M6:M10)+COUNT(M12:M22)</f>
        <v>2</v>
      </c>
    </row>
    <row r="25" spans="2:21" ht="31.5">
      <c r="B25" s="11" t="s">
        <v>119</v>
      </c>
      <c r="C25" s="16">
        <f>AVERAGE(C6:C22)</f>
        <v>447.75</v>
      </c>
      <c r="D25" s="16"/>
      <c r="E25" s="16">
        <f>E23/E24</f>
        <v>426.55555555555554</v>
      </c>
      <c r="F25" s="16">
        <f aca="true" t="shared" si="3" ref="F25:M25">AVERAGE(F6:F22)</f>
        <v>454.7142857142857</v>
      </c>
      <c r="G25" s="16">
        <f t="shared" si="3"/>
        <v>431.625</v>
      </c>
      <c r="H25" s="16">
        <f t="shared" si="3"/>
        <v>430.125</v>
      </c>
      <c r="I25" s="16">
        <f>AVERAGE(I6:I22)</f>
        <v>435.61538461538464</v>
      </c>
      <c r="J25" s="16">
        <f>AVERAGE(J6:J22)</f>
        <v>403.75</v>
      </c>
      <c r="K25" s="16">
        <f>K23/K24</f>
        <v>388.55555555555554</v>
      </c>
      <c r="L25" s="16">
        <f t="shared" si="3"/>
        <v>404.3333333333333</v>
      </c>
      <c r="M25" s="16">
        <f t="shared" si="3"/>
        <v>369.5</v>
      </c>
      <c r="N25" s="3" t="s">
        <v>29</v>
      </c>
      <c r="O25" s="461" t="s">
        <v>109</v>
      </c>
      <c r="P25" s="461"/>
      <c r="Q25" s="3" t="s">
        <v>30</v>
      </c>
      <c r="R25" s="10" t="s">
        <v>110</v>
      </c>
      <c r="T25" s="63" t="s">
        <v>118</v>
      </c>
      <c r="U25" s="63" t="s">
        <v>209</v>
      </c>
    </row>
    <row r="26" spans="14:21" ht="15.75">
      <c r="N26" s="6">
        <f>SUM(N6:N22)</f>
        <v>41072</v>
      </c>
      <c r="O26" s="1">
        <f>SUM(O6:O22)</f>
        <v>68</v>
      </c>
      <c r="P26" s="1">
        <f>SUM(P6:P22)</f>
        <v>60</v>
      </c>
      <c r="Q26" s="1">
        <f>SUM(Q6:Q22)</f>
        <v>33</v>
      </c>
      <c r="R26" s="1">
        <f>SUM(R6:R22)</f>
        <v>16</v>
      </c>
      <c r="T26" s="2">
        <f>O26-P26</f>
        <v>8</v>
      </c>
      <c r="U26" s="2">
        <f>SUM(S23:U23)</f>
        <v>16</v>
      </c>
    </row>
    <row r="27" ht="15.75">
      <c r="J27" s="9"/>
    </row>
    <row r="28" spans="3:12" ht="15.75">
      <c r="C28" s="463" t="s">
        <v>37</v>
      </c>
      <c r="D28" s="463"/>
      <c r="E28" s="45"/>
      <c r="G28" s="458" t="s">
        <v>124</v>
      </c>
      <c r="H28" s="458"/>
      <c r="I28" s="29"/>
      <c r="K28" s="462" t="s">
        <v>125</v>
      </c>
      <c r="L28" s="462"/>
    </row>
    <row r="29" spans="1:21" ht="16.5" thickBo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123"/>
      <c r="T29" s="123"/>
      <c r="U29" s="123"/>
    </row>
    <row r="31" spans="2:21" ht="54.75" customHeight="1" thickBot="1">
      <c r="B31" s="3" t="s">
        <v>24</v>
      </c>
      <c r="C31" s="8" t="s">
        <v>275</v>
      </c>
      <c r="D31" s="8" t="s">
        <v>72</v>
      </c>
      <c r="E31" s="8" t="s">
        <v>269</v>
      </c>
      <c r="F31" s="8" t="s">
        <v>102</v>
      </c>
      <c r="G31" s="8" t="s">
        <v>74</v>
      </c>
      <c r="H31" s="8" t="s">
        <v>75</v>
      </c>
      <c r="I31" s="180" t="s">
        <v>276</v>
      </c>
      <c r="J31" s="8"/>
      <c r="K31" s="8" t="s">
        <v>76</v>
      </c>
      <c r="L31" s="8" t="s">
        <v>93</v>
      </c>
      <c r="M31" s="8" t="s">
        <v>186</v>
      </c>
      <c r="N31" s="3" t="s">
        <v>29</v>
      </c>
      <c r="O31" s="60" t="s">
        <v>192</v>
      </c>
      <c r="P31" s="3" t="s">
        <v>28</v>
      </c>
      <c r="Q31" s="3" t="s">
        <v>30</v>
      </c>
      <c r="R31" s="10" t="s">
        <v>108</v>
      </c>
      <c r="S31" s="2" t="s">
        <v>174</v>
      </c>
      <c r="T31" s="2" t="s">
        <v>175</v>
      </c>
      <c r="U31" s="2" t="s">
        <v>176</v>
      </c>
    </row>
    <row r="32" spans="1:19" s="27" customFormat="1" ht="15.75">
      <c r="A32" s="25" t="s">
        <v>145</v>
      </c>
      <c r="B32" s="35" t="s">
        <v>21</v>
      </c>
      <c r="C32" s="202">
        <v>421</v>
      </c>
      <c r="D32" s="35"/>
      <c r="E32" s="35">
        <v>404</v>
      </c>
      <c r="F32" s="35"/>
      <c r="G32" s="202">
        <v>424</v>
      </c>
      <c r="H32" s="202">
        <v>448</v>
      </c>
      <c r="I32" s="35">
        <v>414</v>
      </c>
      <c r="J32" s="35"/>
      <c r="K32" s="35"/>
      <c r="L32" s="35"/>
      <c r="M32" s="35">
        <v>372</v>
      </c>
      <c r="N32" s="128">
        <f>SUM(C32:M32)</f>
        <v>2483</v>
      </c>
      <c r="O32" s="25">
        <v>5</v>
      </c>
      <c r="P32" s="25">
        <v>3</v>
      </c>
      <c r="Q32" s="25">
        <v>7</v>
      </c>
      <c r="R32" s="25">
        <v>2</v>
      </c>
      <c r="S32" s="27">
        <v>1</v>
      </c>
    </row>
    <row r="33" spans="1:19" s="106" customFormat="1" ht="15.75">
      <c r="A33" s="19" t="s">
        <v>146</v>
      </c>
      <c r="B33" s="34" t="s">
        <v>20</v>
      </c>
      <c r="C33" s="201">
        <v>441</v>
      </c>
      <c r="D33" s="95"/>
      <c r="E33" s="95">
        <v>418</v>
      </c>
      <c r="F33" s="201">
        <v>433</v>
      </c>
      <c r="G33" s="95">
        <v>421</v>
      </c>
      <c r="H33" s="201">
        <v>436</v>
      </c>
      <c r="I33" s="201">
        <v>464</v>
      </c>
      <c r="J33" s="95"/>
      <c r="K33" s="95"/>
      <c r="L33" s="95"/>
      <c r="M33" s="95"/>
      <c r="N33" s="105">
        <f aca="true" t="shared" si="4" ref="N33:N47">SUM(C33:M33)</f>
        <v>2613</v>
      </c>
      <c r="O33" s="103">
        <v>6</v>
      </c>
      <c r="P33" s="103">
        <v>2</v>
      </c>
      <c r="Q33" s="103">
        <v>129</v>
      </c>
      <c r="R33" s="103">
        <v>2</v>
      </c>
      <c r="S33" s="106">
        <v>1</v>
      </c>
    </row>
    <row r="34" spans="1:21" s="225" customFormat="1" ht="15.75">
      <c r="A34" s="87" t="s">
        <v>147</v>
      </c>
      <c r="B34" s="97" t="s">
        <v>22</v>
      </c>
      <c r="C34" s="330">
        <v>441</v>
      </c>
      <c r="D34" s="155"/>
      <c r="E34" s="155">
        <v>383</v>
      </c>
      <c r="F34" s="155">
        <v>392</v>
      </c>
      <c r="G34" s="330">
        <v>429</v>
      </c>
      <c r="H34" s="155">
        <v>403</v>
      </c>
      <c r="I34" s="155"/>
      <c r="J34" s="155"/>
      <c r="K34" s="155">
        <v>365</v>
      </c>
      <c r="L34" s="155"/>
      <c r="M34" s="155"/>
      <c r="N34" s="200">
        <f t="shared" si="4"/>
        <v>2413</v>
      </c>
      <c r="O34" s="225">
        <v>2</v>
      </c>
      <c r="P34" s="225">
        <v>6</v>
      </c>
      <c r="Q34" s="225">
        <v>-162</v>
      </c>
      <c r="R34" s="225">
        <v>0</v>
      </c>
      <c r="U34" s="225">
        <v>1</v>
      </c>
    </row>
    <row r="35" spans="1:19" s="23" customFormat="1" ht="15.75">
      <c r="A35" s="204" t="s">
        <v>148</v>
      </c>
      <c r="B35" s="205" t="s">
        <v>195</v>
      </c>
      <c r="C35" s="285">
        <v>415</v>
      </c>
      <c r="D35" s="184"/>
      <c r="E35" s="184">
        <v>430</v>
      </c>
      <c r="F35" s="339">
        <v>475</v>
      </c>
      <c r="G35" s="339">
        <v>439</v>
      </c>
      <c r="H35" s="339">
        <v>435</v>
      </c>
      <c r="I35" s="184">
        <v>391</v>
      </c>
      <c r="J35" s="184"/>
      <c r="K35" s="184"/>
      <c r="L35" s="184"/>
      <c r="M35" s="184"/>
      <c r="N35" s="58">
        <f t="shared" si="4"/>
        <v>2585</v>
      </c>
      <c r="O35" s="19">
        <v>5</v>
      </c>
      <c r="P35" s="19">
        <v>3</v>
      </c>
      <c r="Q35" s="19">
        <v>23</v>
      </c>
      <c r="R35" s="19">
        <v>2</v>
      </c>
      <c r="S35" s="23">
        <v>1</v>
      </c>
    </row>
    <row r="36" spans="1:21" s="231" customFormat="1" ht="15.75">
      <c r="A36" s="25" t="s">
        <v>149</v>
      </c>
      <c r="B36" s="35" t="s">
        <v>196</v>
      </c>
      <c r="C36" s="225">
        <v>404</v>
      </c>
      <c r="D36" s="226"/>
      <c r="E36" s="226">
        <v>403</v>
      </c>
      <c r="F36" s="226">
        <v>371</v>
      </c>
      <c r="G36" s="226">
        <v>387</v>
      </c>
      <c r="H36" s="251">
        <v>404</v>
      </c>
      <c r="I36" s="251">
        <v>426</v>
      </c>
      <c r="J36" s="226"/>
      <c r="K36" s="226"/>
      <c r="L36" s="226"/>
      <c r="M36" s="226"/>
      <c r="N36" s="200">
        <f t="shared" si="4"/>
        <v>2395</v>
      </c>
      <c r="O36" s="193">
        <v>2</v>
      </c>
      <c r="P36" s="193">
        <v>6</v>
      </c>
      <c r="Q36" s="193">
        <v>-46</v>
      </c>
      <c r="R36" s="193">
        <v>0</v>
      </c>
      <c r="U36" s="231">
        <v>1</v>
      </c>
    </row>
    <row r="37" spans="1:21" s="231" customFormat="1" ht="15.75">
      <c r="A37" s="25" t="s">
        <v>150</v>
      </c>
      <c r="B37" s="35" t="s">
        <v>25</v>
      </c>
      <c r="C37" s="251">
        <v>436</v>
      </c>
      <c r="D37" s="226"/>
      <c r="E37" s="226"/>
      <c r="F37" s="226">
        <v>202</v>
      </c>
      <c r="G37" s="226">
        <v>422</v>
      </c>
      <c r="H37" s="251">
        <v>457</v>
      </c>
      <c r="I37" s="226"/>
      <c r="J37" s="226"/>
      <c r="K37" s="226">
        <v>359</v>
      </c>
      <c r="L37" s="226">
        <v>190</v>
      </c>
      <c r="M37" s="226">
        <v>413</v>
      </c>
      <c r="N37" s="200">
        <f t="shared" si="4"/>
        <v>2479</v>
      </c>
      <c r="O37" s="193">
        <v>2</v>
      </c>
      <c r="P37" s="193">
        <v>6</v>
      </c>
      <c r="Q37" s="193">
        <v>-114</v>
      </c>
      <c r="R37" s="193">
        <v>0</v>
      </c>
      <c r="U37" s="231">
        <v>1</v>
      </c>
    </row>
    <row r="38" spans="1:19" s="23" customFormat="1" ht="15.75">
      <c r="A38" s="204" t="s">
        <v>151</v>
      </c>
      <c r="B38" s="205" t="s">
        <v>272</v>
      </c>
      <c r="C38" s="344">
        <v>432</v>
      </c>
      <c r="D38" s="254"/>
      <c r="E38" s="344">
        <v>443</v>
      </c>
      <c r="F38" s="254"/>
      <c r="G38" s="344">
        <v>448</v>
      </c>
      <c r="H38" s="254">
        <v>423</v>
      </c>
      <c r="I38" s="344">
        <v>471</v>
      </c>
      <c r="J38" s="254"/>
      <c r="K38" s="254"/>
      <c r="L38" s="254"/>
      <c r="M38" s="254">
        <v>366</v>
      </c>
      <c r="N38" s="58">
        <f t="shared" si="4"/>
        <v>2583</v>
      </c>
      <c r="O38" s="19">
        <v>6</v>
      </c>
      <c r="P38" s="19">
        <v>2</v>
      </c>
      <c r="Q38" s="19">
        <v>73</v>
      </c>
      <c r="R38" s="19">
        <v>2</v>
      </c>
      <c r="S38" s="23">
        <v>1</v>
      </c>
    </row>
    <row r="39" spans="1:20" s="231" customFormat="1" ht="15.75">
      <c r="A39" s="25" t="s">
        <v>152</v>
      </c>
      <c r="B39" s="35" t="s">
        <v>19</v>
      </c>
      <c r="C39" s="346">
        <v>430</v>
      </c>
      <c r="D39" s="257"/>
      <c r="E39" s="346">
        <v>425</v>
      </c>
      <c r="F39" s="257">
        <v>199</v>
      </c>
      <c r="G39" s="346">
        <v>424</v>
      </c>
      <c r="H39" s="257">
        <v>410</v>
      </c>
      <c r="I39" s="346">
        <v>453</v>
      </c>
      <c r="J39" s="257"/>
      <c r="K39" s="257">
        <v>186</v>
      </c>
      <c r="L39" s="257"/>
      <c r="M39" s="257"/>
      <c r="N39" s="200">
        <f t="shared" si="4"/>
        <v>2527</v>
      </c>
      <c r="O39" s="193">
        <v>4</v>
      </c>
      <c r="P39" s="193">
        <v>4</v>
      </c>
      <c r="Q39" s="193">
        <v>-12</v>
      </c>
      <c r="R39" s="193">
        <v>1</v>
      </c>
      <c r="T39" s="231">
        <v>1</v>
      </c>
    </row>
    <row r="40" spans="1:21" s="211" customFormat="1" ht="15.75">
      <c r="A40" s="83" t="s">
        <v>153</v>
      </c>
      <c r="B40" s="96" t="s">
        <v>18</v>
      </c>
      <c r="C40" s="425">
        <v>461</v>
      </c>
      <c r="D40" s="420"/>
      <c r="E40" s="425">
        <v>452</v>
      </c>
      <c r="F40" s="420">
        <v>399</v>
      </c>
      <c r="G40" s="425">
        <v>461</v>
      </c>
      <c r="H40" s="420">
        <v>443</v>
      </c>
      <c r="I40" s="420">
        <v>443</v>
      </c>
      <c r="J40" s="420"/>
      <c r="K40" s="420"/>
      <c r="L40" s="420"/>
      <c r="M40" s="420"/>
      <c r="N40" s="366">
        <f t="shared" si="4"/>
        <v>2659</v>
      </c>
      <c r="O40" s="204">
        <v>3</v>
      </c>
      <c r="P40" s="204">
        <v>5</v>
      </c>
      <c r="Q40" s="204">
        <v>-32</v>
      </c>
      <c r="R40" s="204">
        <v>0</v>
      </c>
      <c r="U40" s="211">
        <v>1</v>
      </c>
    </row>
    <row r="41" spans="1:21" s="231" customFormat="1" ht="15.75">
      <c r="A41" s="25" t="s">
        <v>154</v>
      </c>
      <c r="B41" s="39" t="s">
        <v>17</v>
      </c>
      <c r="C41" s="399">
        <v>427</v>
      </c>
      <c r="D41" s="417"/>
      <c r="E41" s="417"/>
      <c r="F41" s="417">
        <v>417</v>
      </c>
      <c r="G41" s="417"/>
      <c r="H41" s="417">
        <v>423</v>
      </c>
      <c r="I41" s="417">
        <v>422</v>
      </c>
      <c r="J41" s="417"/>
      <c r="K41" s="417">
        <v>385</v>
      </c>
      <c r="L41" s="417"/>
      <c r="M41" s="430">
        <v>430</v>
      </c>
      <c r="N41" s="200">
        <f t="shared" si="4"/>
        <v>2504</v>
      </c>
      <c r="O41" s="193">
        <v>1</v>
      </c>
      <c r="P41" s="193">
        <v>7</v>
      </c>
      <c r="Q41" s="193">
        <v>-93</v>
      </c>
      <c r="R41" s="193">
        <v>0</v>
      </c>
      <c r="U41" s="231">
        <v>1</v>
      </c>
    </row>
    <row r="42" spans="1:19" s="106" customFormat="1" ht="15.75">
      <c r="A42" s="19" t="s">
        <v>155</v>
      </c>
      <c r="B42" s="36" t="s">
        <v>193</v>
      </c>
      <c r="C42" s="250">
        <v>446</v>
      </c>
      <c r="D42" s="34"/>
      <c r="E42" s="250">
        <v>423</v>
      </c>
      <c r="F42" s="34"/>
      <c r="G42" s="250">
        <v>440</v>
      </c>
      <c r="H42" s="34">
        <v>413</v>
      </c>
      <c r="I42" s="250">
        <v>465</v>
      </c>
      <c r="J42" s="34"/>
      <c r="K42" s="34"/>
      <c r="L42" s="34"/>
      <c r="M42" s="34">
        <v>330</v>
      </c>
      <c r="N42" s="105">
        <f t="shared" si="4"/>
        <v>2517</v>
      </c>
      <c r="O42" s="103">
        <v>6</v>
      </c>
      <c r="P42" s="103">
        <v>2</v>
      </c>
      <c r="Q42" s="103">
        <v>129</v>
      </c>
      <c r="R42" s="103">
        <v>2</v>
      </c>
      <c r="S42" s="106">
        <v>1</v>
      </c>
    </row>
    <row r="43" spans="1:21" s="231" customFormat="1" ht="15.75">
      <c r="A43" s="25" t="s">
        <v>156</v>
      </c>
      <c r="B43" s="39" t="s">
        <v>241</v>
      </c>
      <c r="C43" s="202">
        <v>483</v>
      </c>
      <c r="D43" s="35"/>
      <c r="E43" s="35">
        <v>436</v>
      </c>
      <c r="F43" s="202">
        <v>221</v>
      </c>
      <c r="G43" s="35">
        <v>443</v>
      </c>
      <c r="H43" s="202">
        <v>229</v>
      </c>
      <c r="I43" s="35">
        <v>440</v>
      </c>
      <c r="J43" s="35"/>
      <c r="K43" s="35">
        <v>358</v>
      </c>
      <c r="L43" s="35"/>
      <c r="M43" s="35"/>
      <c r="N43" s="200">
        <f t="shared" si="4"/>
        <v>2610</v>
      </c>
      <c r="O43" s="193">
        <v>2</v>
      </c>
      <c r="P43" s="193">
        <v>6</v>
      </c>
      <c r="Q43" s="193">
        <v>-70</v>
      </c>
      <c r="R43" s="193">
        <v>0</v>
      </c>
      <c r="U43" s="231">
        <v>1</v>
      </c>
    </row>
    <row r="44" spans="1:18" s="223" customFormat="1" ht="15.75">
      <c r="A44" s="145" t="s">
        <v>157</v>
      </c>
      <c r="B44" s="149" t="s">
        <v>234</v>
      </c>
      <c r="C44" s="176"/>
      <c r="D44" s="173"/>
      <c r="E44" s="173"/>
      <c r="F44" s="173"/>
      <c r="G44" s="173"/>
      <c r="H44" s="173"/>
      <c r="I44" s="173"/>
      <c r="J44" s="173"/>
      <c r="K44" s="173"/>
      <c r="L44" s="173"/>
      <c r="M44" s="174"/>
      <c r="N44" s="377" t="s">
        <v>234</v>
      </c>
      <c r="O44" s="378"/>
      <c r="P44" s="378"/>
      <c r="Q44" s="378"/>
      <c r="R44" s="378"/>
    </row>
    <row r="45" spans="1:19" s="231" customFormat="1" ht="15.75">
      <c r="A45" s="25" t="s">
        <v>243</v>
      </c>
      <c r="B45" s="35" t="s">
        <v>242</v>
      </c>
      <c r="C45" s="203">
        <v>478</v>
      </c>
      <c r="D45" s="93"/>
      <c r="E45" s="93">
        <v>404</v>
      </c>
      <c r="F45" s="203">
        <v>449</v>
      </c>
      <c r="G45" s="203">
        <v>447</v>
      </c>
      <c r="H45" s="93">
        <v>441</v>
      </c>
      <c r="I45" s="93"/>
      <c r="J45" s="93"/>
      <c r="K45" s="93">
        <v>187</v>
      </c>
      <c r="L45" s="93"/>
      <c r="M45" s="93">
        <v>185</v>
      </c>
      <c r="N45" s="200">
        <f t="shared" si="4"/>
        <v>2591</v>
      </c>
      <c r="O45" s="193">
        <v>5</v>
      </c>
      <c r="P45" s="193">
        <v>3</v>
      </c>
      <c r="Q45" s="193">
        <v>91</v>
      </c>
      <c r="R45" s="193">
        <v>2</v>
      </c>
      <c r="S45" s="231">
        <v>1</v>
      </c>
    </row>
    <row r="46" spans="1:21" s="23" customFormat="1" ht="15.75">
      <c r="A46" s="204" t="s">
        <v>244</v>
      </c>
      <c r="B46" s="206" t="s">
        <v>194</v>
      </c>
      <c r="C46" s="201">
        <v>445</v>
      </c>
      <c r="D46" s="95"/>
      <c r="E46" s="95">
        <v>413</v>
      </c>
      <c r="F46" s="95">
        <v>439</v>
      </c>
      <c r="G46" s="201">
        <v>442</v>
      </c>
      <c r="H46" s="95">
        <v>410</v>
      </c>
      <c r="I46" s="95">
        <v>430</v>
      </c>
      <c r="J46" s="95"/>
      <c r="K46" s="95"/>
      <c r="L46" s="95"/>
      <c r="M46" s="95"/>
      <c r="N46" s="58">
        <f t="shared" si="4"/>
        <v>2579</v>
      </c>
      <c r="O46" s="19">
        <v>2</v>
      </c>
      <c r="P46" s="19">
        <v>6</v>
      </c>
      <c r="Q46" s="19">
        <v>-131</v>
      </c>
      <c r="R46" s="19">
        <v>0</v>
      </c>
      <c r="U46" s="23">
        <v>1</v>
      </c>
    </row>
    <row r="47" spans="1:19" s="231" customFormat="1" ht="15.75">
      <c r="A47" s="25" t="s">
        <v>266</v>
      </c>
      <c r="B47" s="39" t="s">
        <v>238</v>
      </c>
      <c r="C47" s="436">
        <v>467</v>
      </c>
      <c r="D47" s="155"/>
      <c r="E47" s="436">
        <v>432</v>
      </c>
      <c r="F47" s="155">
        <v>421</v>
      </c>
      <c r="G47" s="155">
        <v>419</v>
      </c>
      <c r="H47" s="436">
        <v>453</v>
      </c>
      <c r="I47" s="436">
        <v>427</v>
      </c>
      <c r="J47" s="155"/>
      <c r="K47" s="155"/>
      <c r="L47" s="155"/>
      <c r="M47" s="155"/>
      <c r="N47" s="200">
        <f t="shared" si="4"/>
        <v>2619</v>
      </c>
      <c r="O47" s="193">
        <v>6</v>
      </c>
      <c r="P47" s="193">
        <v>2</v>
      </c>
      <c r="Q47" s="193">
        <v>199</v>
      </c>
      <c r="R47" s="193">
        <v>2</v>
      </c>
      <c r="S47" s="231">
        <v>1</v>
      </c>
    </row>
    <row r="48" spans="1:21" s="211" customFormat="1" ht="16.5" thickBot="1">
      <c r="A48" s="83" t="s">
        <v>267</v>
      </c>
      <c r="B48" s="96" t="s">
        <v>15</v>
      </c>
      <c r="C48" s="453">
        <v>459</v>
      </c>
      <c r="D48" s="418"/>
      <c r="E48" s="418">
        <v>421</v>
      </c>
      <c r="F48" s="452">
        <v>467</v>
      </c>
      <c r="G48" s="418">
        <v>371</v>
      </c>
      <c r="H48" s="418">
        <v>420</v>
      </c>
      <c r="I48" s="452">
        <v>487</v>
      </c>
      <c r="J48" s="418"/>
      <c r="K48" s="418"/>
      <c r="L48" s="418"/>
      <c r="M48" s="418"/>
      <c r="N48" s="386">
        <f>SUM(C48:M48)</f>
        <v>2625</v>
      </c>
      <c r="O48" s="372">
        <v>3</v>
      </c>
      <c r="P48" s="372">
        <v>5</v>
      </c>
      <c r="Q48" s="372">
        <v>-61</v>
      </c>
      <c r="R48" s="372">
        <v>0</v>
      </c>
      <c r="S48" s="393"/>
      <c r="T48" s="393"/>
      <c r="U48" s="393">
        <v>1</v>
      </c>
    </row>
    <row r="49" spans="3:21" ht="16.5" thickTop="1">
      <c r="C49" s="7">
        <f aca="true" t="shared" si="5" ref="C49:J49">SUM(C32:C48)</f>
        <v>7086</v>
      </c>
      <c r="D49" s="7">
        <f t="shared" si="5"/>
        <v>0</v>
      </c>
      <c r="E49" s="7">
        <f>SUM(E32:E39)+SUM(E40:E48)</f>
        <v>5887</v>
      </c>
      <c r="F49" s="7">
        <f>SUM(F32:F36)+SUM(F44:F48)+SUM(F40:F41)</f>
        <v>4263</v>
      </c>
      <c r="G49" s="7">
        <f t="shared" si="5"/>
        <v>6417</v>
      </c>
      <c r="H49" s="7">
        <f>SUM(H32:H39)+SUM(H44:H48)+SUM(H40:H42)</f>
        <v>6419</v>
      </c>
      <c r="I49" s="7">
        <f t="shared" si="5"/>
        <v>5733</v>
      </c>
      <c r="J49" s="7">
        <f t="shared" si="5"/>
        <v>0</v>
      </c>
      <c r="K49" s="7">
        <f>SUM(K32:K37)+SUM(K40:K44)+SUM(K46:K48)</f>
        <v>1467</v>
      </c>
      <c r="L49" s="7">
        <f>SUM(L32:L36)+SUM(L38:L48)</f>
        <v>0</v>
      </c>
      <c r="M49" s="7">
        <f>SUM(M32:M38)+SUM(M40:M44)+SUM(M46:M48)</f>
        <v>1911</v>
      </c>
      <c r="O49" s="1">
        <f>SUM(O32:O48)</f>
        <v>60</v>
      </c>
      <c r="P49" s="1">
        <f>SUM(P32:P48)</f>
        <v>68</v>
      </c>
      <c r="Q49" s="1">
        <f>SUM(Q32:Q48)</f>
        <v>-70</v>
      </c>
      <c r="R49" s="1">
        <f>SUM(R32:R48)</f>
        <v>15</v>
      </c>
      <c r="S49" s="1">
        <f>SUM(S32:S48)+S23</f>
        <v>15</v>
      </c>
      <c r="T49" s="1">
        <f>SUM(T32:T48)+T23</f>
        <v>1</v>
      </c>
      <c r="U49" s="1">
        <f>SUM(U32:U48)+U23</f>
        <v>16</v>
      </c>
    </row>
    <row r="50" spans="2:13" ht="15.75">
      <c r="B50" s="57" t="s">
        <v>232</v>
      </c>
      <c r="C50" s="1">
        <f>COUNT(C32:C48)</f>
        <v>16</v>
      </c>
      <c r="D50" s="1">
        <f aca="true" t="shared" si="6" ref="D50:J50">COUNT(D32:D48)</f>
        <v>0</v>
      </c>
      <c r="E50" s="1">
        <f>COUNT(E32:E39)+COUNT(E40:E48)</f>
        <v>14</v>
      </c>
      <c r="F50" s="1">
        <f>COUNT(F32:F36)+COUNT(F44:F48)+COUNT(F40:F41)</f>
        <v>10</v>
      </c>
      <c r="G50" s="1">
        <f t="shared" si="6"/>
        <v>15</v>
      </c>
      <c r="H50" s="1">
        <f>COUNT(H32:H39)+COUNT(H44:H48)+COUNT(H40:H42)</f>
        <v>15</v>
      </c>
      <c r="I50" s="1">
        <f t="shared" si="6"/>
        <v>13</v>
      </c>
      <c r="J50" s="1">
        <f t="shared" si="6"/>
        <v>0</v>
      </c>
      <c r="K50" s="1">
        <f>COUNT(K32:K37)+COUNT(K40:K44)+COUNT(K46:K48)</f>
        <v>4</v>
      </c>
      <c r="L50" s="1">
        <f>COUNT(L32:L36)+COUNT(L38:L48)</f>
        <v>0</v>
      </c>
      <c r="M50" s="1">
        <f>COUNT(M32:M38)+COUNT(M40:M44)+COUNT(M46:M48)</f>
        <v>5</v>
      </c>
    </row>
    <row r="51" spans="2:21" ht="31.5">
      <c r="B51" s="11" t="s">
        <v>228</v>
      </c>
      <c r="C51" s="16">
        <f>C49/C50</f>
        <v>442.875</v>
      </c>
      <c r="D51" s="16"/>
      <c r="E51" s="16">
        <f aca="true" t="shared" si="7" ref="E51:M51">E49/E50</f>
        <v>420.5</v>
      </c>
      <c r="F51" s="16">
        <f t="shared" si="7"/>
        <v>426.3</v>
      </c>
      <c r="G51" s="16">
        <f t="shared" si="7"/>
        <v>427.8</v>
      </c>
      <c r="H51" s="16">
        <f t="shared" si="7"/>
        <v>427.93333333333334</v>
      </c>
      <c r="I51" s="16">
        <f t="shared" si="7"/>
        <v>441</v>
      </c>
      <c r="J51" s="16"/>
      <c r="K51" s="16">
        <f t="shared" si="7"/>
        <v>366.75</v>
      </c>
      <c r="L51" s="16"/>
      <c r="M51" s="16">
        <f t="shared" si="7"/>
        <v>382.2</v>
      </c>
      <c r="N51" s="3" t="s">
        <v>29</v>
      </c>
      <c r="O51" s="461" t="s">
        <v>109</v>
      </c>
      <c r="P51" s="461"/>
      <c r="Q51" s="3" t="s">
        <v>30</v>
      </c>
      <c r="R51" s="10" t="s">
        <v>110</v>
      </c>
      <c r="T51" s="63" t="s">
        <v>118</v>
      </c>
      <c r="U51" s="63" t="s">
        <v>209</v>
      </c>
    </row>
    <row r="52" spans="14:21" ht="15.75">
      <c r="N52" s="6">
        <f>SUM(N32:N48)+N26</f>
        <v>81854</v>
      </c>
      <c r="O52" s="6">
        <f>SUM(O32:O48)+O26</f>
        <v>128</v>
      </c>
      <c r="P52" s="6">
        <f>SUM(P32:P48)+P26</f>
        <v>128</v>
      </c>
      <c r="Q52" s="6">
        <f>SUM(Q32:Q48)+Q26</f>
        <v>-37</v>
      </c>
      <c r="R52" s="6">
        <f>SUM(R32:R48)+R26</f>
        <v>31</v>
      </c>
      <c r="T52" s="2">
        <f>O52-P52</f>
        <v>0</v>
      </c>
      <c r="U52" s="2">
        <f>SUM(S49:U49)</f>
        <v>32</v>
      </c>
    </row>
    <row r="54" spans="14:15" ht="15.75">
      <c r="N54" s="1" t="s">
        <v>120</v>
      </c>
      <c r="O54" s="18">
        <f>N52/U52</f>
        <v>2557.9375</v>
      </c>
    </row>
  </sheetData>
  <sheetProtection/>
  <mergeCells count="11">
    <mergeCell ref="C28:D28"/>
    <mergeCell ref="O25:P25"/>
    <mergeCell ref="G1:H1"/>
    <mergeCell ref="N2:O2"/>
    <mergeCell ref="K1:L1"/>
    <mergeCell ref="N1:O1"/>
    <mergeCell ref="O51:P51"/>
    <mergeCell ref="K28:L28"/>
    <mergeCell ref="G28:H28"/>
    <mergeCell ref="C4:M4"/>
    <mergeCell ref="O4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U54"/>
  <sheetViews>
    <sheetView zoomScale="90" zoomScaleNormal="90" zoomScalePageLayoutView="0" workbookViewId="0" topLeftCell="B28">
      <selection activeCell="H48" sqref="H48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9.875" style="1" customWidth="1"/>
    <col min="4" max="5" width="8.125" style="1" customWidth="1"/>
    <col min="6" max="6" width="13.75390625" style="1" customWidth="1"/>
    <col min="7" max="7" width="8.625" style="1" customWidth="1"/>
    <col min="8" max="8" width="10.75390625" style="1" customWidth="1"/>
    <col min="9" max="9" width="10.625" style="1" customWidth="1"/>
    <col min="10" max="10" width="10.25390625" style="1" customWidth="1"/>
    <col min="11" max="12" width="12.375" style="1" customWidth="1"/>
    <col min="13" max="13" width="15.625" style="1" bestFit="1" customWidth="1"/>
    <col min="14" max="14" width="18.375" style="1" bestFit="1" customWidth="1"/>
    <col min="15" max="15" width="11.25390625" style="1" customWidth="1"/>
    <col min="16" max="16" width="10.375" style="1" customWidth="1"/>
    <col min="17" max="17" width="13.375" style="1" customWidth="1"/>
    <col min="18" max="18" width="11.00390625" style="1" customWidth="1"/>
    <col min="19" max="19" width="9.25390625" style="0" bestFit="1" customWidth="1"/>
    <col min="20" max="20" width="11.125" style="0" customWidth="1"/>
    <col min="21" max="21" width="11.25390625" style="0" customWidth="1"/>
  </cols>
  <sheetData>
    <row r="1" spans="1:15" ht="15.75">
      <c r="A1" s="48" t="s">
        <v>133</v>
      </c>
      <c r="B1" s="49"/>
      <c r="C1" s="49" t="s">
        <v>139</v>
      </c>
      <c r="D1" s="49" t="s">
        <v>134</v>
      </c>
      <c r="E1" s="49"/>
      <c r="F1" s="459" t="s">
        <v>135</v>
      </c>
      <c r="G1" s="459"/>
      <c r="I1" s="461" t="s">
        <v>143</v>
      </c>
      <c r="J1" s="461"/>
      <c r="K1" s="3" t="s">
        <v>144</v>
      </c>
      <c r="L1" s="3"/>
      <c r="M1" s="13" t="s">
        <v>118</v>
      </c>
      <c r="N1" s="1" t="s">
        <v>120</v>
      </c>
      <c r="O1" s="18">
        <f>N26/U26</f>
        <v>2404.625</v>
      </c>
    </row>
    <row r="2" spans="9:15" ht="15.75">
      <c r="I2" s="1">
        <f>O26+O49</f>
        <v>80</v>
      </c>
      <c r="J2" s="1">
        <f>P26+P49</f>
        <v>176</v>
      </c>
      <c r="K2" s="1">
        <f>R26+R49</f>
        <v>8</v>
      </c>
      <c r="M2" s="1">
        <f>I2-J2</f>
        <v>-96</v>
      </c>
      <c r="N2" s="1" t="s">
        <v>216</v>
      </c>
      <c r="O2" s="6">
        <f>N7+N9+N11+N13+N15+N17+N19+N22+N32+N34+N36+N38+N39+N41+N43+N47</f>
        <v>38512</v>
      </c>
    </row>
    <row r="4" spans="3:21" ht="15.75">
      <c r="C4" s="461" t="s">
        <v>26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O4" s="461" t="s">
        <v>27</v>
      </c>
      <c r="P4" s="461"/>
      <c r="S4" s="2"/>
      <c r="T4" s="2"/>
      <c r="U4" s="2"/>
    </row>
    <row r="5" spans="2:21" ht="37.5" customHeight="1" thickBot="1">
      <c r="B5" s="3" t="s">
        <v>24</v>
      </c>
      <c r="C5" s="8" t="s">
        <v>166</v>
      </c>
      <c r="D5" s="8" t="s">
        <v>167</v>
      </c>
      <c r="E5" s="8"/>
      <c r="F5" s="8" t="s">
        <v>35</v>
      </c>
      <c r="G5" s="8" t="s">
        <v>168</v>
      </c>
      <c r="H5" s="8" t="s">
        <v>169</v>
      </c>
      <c r="I5" s="8" t="s">
        <v>170</v>
      </c>
      <c r="J5" s="8" t="s">
        <v>140</v>
      </c>
      <c r="K5" s="8" t="s">
        <v>180</v>
      </c>
      <c r="L5" s="8" t="s">
        <v>294</v>
      </c>
      <c r="M5" s="8" t="s">
        <v>31</v>
      </c>
      <c r="N5" s="11" t="s">
        <v>29</v>
      </c>
      <c r="O5" s="11" t="s">
        <v>272</v>
      </c>
      <c r="P5" s="11" t="s">
        <v>28</v>
      </c>
      <c r="Q5" s="11" t="s">
        <v>30</v>
      </c>
      <c r="R5" s="10" t="s">
        <v>108</v>
      </c>
      <c r="S5" s="2" t="s">
        <v>174</v>
      </c>
      <c r="T5" s="2" t="s">
        <v>175</v>
      </c>
      <c r="U5" s="2" t="s">
        <v>176</v>
      </c>
    </row>
    <row r="6" spans="1:21" s="211" customFormat="1" ht="15.75">
      <c r="A6" s="204" t="s">
        <v>0</v>
      </c>
      <c r="B6" s="206" t="s">
        <v>18</v>
      </c>
      <c r="C6" s="205">
        <v>378</v>
      </c>
      <c r="D6" s="205"/>
      <c r="E6" s="205"/>
      <c r="F6" s="205">
        <v>410</v>
      </c>
      <c r="G6" s="246">
        <v>427</v>
      </c>
      <c r="H6" s="205">
        <v>422</v>
      </c>
      <c r="I6" s="205">
        <v>380</v>
      </c>
      <c r="J6" s="205"/>
      <c r="K6" s="205"/>
      <c r="L6" s="205"/>
      <c r="M6" s="212">
        <v>386</v>
      </c>
      <c r="N6" s="209">
        <f aca="true" t="shared" si="0" ref="N6:N21">SUM(C6:M6)</f>
        <v>2403</v>
      </c>
      <c r="O6" s="204">
        <v>1</v>
      </c>
      <c r="P6" s="204">
        <v>7</v>
      </c>
      <c r="Q6" s="204">
        <v>-250</v>
      </c>
      <c r="R6" s="204">
        <v>0</v>
      </c>
      <c r="S6" s="210"/>
      <c r="T6" s="210"/>
      <c r="U6" s="210">
        <v>1</v>
      </c>
    </row>
    <row r="7" spans="1:21" s="231" customFormat="1" ht="15.75">
      <c r="A7" s="224" t="s">
        <v>1</v>
      </c>
      <c r="B7" s="225" t="s">
        <v>17</v>
      </c>
      <c r="C7" s="226"/>
      <c r="D7" s="226">
        <v>405</v>
      </c>
      <c r="E7" s="226"/>
      <c r="F7" s="251">
        <v>424</v>
      </c>
      <c r="G7" s="226">
        <v>410</v>
      </c>
      <c r="H7" s="226">
        <v>378</v>
      </c>
      <c r="I7" s="226"/>
      <c r="J7" s="251">
        <v>449</v>
      </c>
      <c r="K7" s="226">
        <v>372</v>
      </c>
      <c r="L7" s="226"/>
      <c r="M7" s="228"/>
      <c r="N7" s="229">
        <f t="shared" si="0"/>
        <v>2438</v>
      </c>
      <c r="O7" s="224">
        <v>2</v>
      </c>
      <c r="P7" s="224">
        <v>6</v>
      </c>
      <c r="Q7" s="224">
        <v>-133</v>
      </c>
      <c r="R7" s="224">
        <v>0</v>
      </c>
      <c r="S7" s="230"/>
      <c r="T7" s="230"/>
      <c r="U7" s="230">
        <v>1</v>
      </c>
    </row>
    <row r="8" spans="1:21" s="211" customFormat="1" ht="15.75">
      <c r="A8" s="204" t="s">
        <v>2</v>
      </c>
      <c r="B8" s="206" t="s">
        <v>193</v>
      </c>
      <c r="C8" s="246">
        <v>428</v>
      </c>
      <c r="D8" s="205">
        <v>408</v>
      </c>
      <c r="E8" s="205"/>
      <c r="F8" s="205">
        <v>427</v>
      </c>
      <c r="G8" s="246">
        <v>434</v>
      </c>
      <c r="H8" s="246">
        <v>447</v>
      </c>
      <c r="I8" s="205"/>
      <c r="J8" s="205"/>
      <c r="K8" s="246">
        <v>440</v>
      </c>
      <c r="L8" s="205"/>
      <c r="M8" s="212"/>
      <c r="N8" s="209">
        <f t="shared" si="0"/>
        <v>2584</v>
      </c>
      <c r="O8" s="204">
        <v>6</v>
      </c>
      <c r="P8" s="204">
        <v>2</v>
      </c>
      <c r="Q8" s="209">
        <v>115</v>
      </c>
      <c r="R8" s="204">
        <v>2</v>
      </c>
      <c r="S8" s="210">
        <v>1</v>
      </c>
      <c r="T8" s="210"/>
      <c r="U8" s="210"/>
    </row>
    <row r="9" spans="1:21" s="231" customFormat="1" ht="15.75">
      <c r="A9" s="224" t="s">
        <v>3</v>
      </c>
      <c r="B9" s="225" t="s">
        <v>241</v>
      </c>
      <c r="C9" s="226">
        <v>409</v>
      </c>
      <c r="D9" s="226">
        <v>400</v>
      </c>
      <c r="E9" s="226"/>
      <c r="F9" s="226"/>
      <c r="G9" s="251">
        <v>451</v>
      </c>
      <c r="H9" s="226">
        <v>378</v>
      </c>
      <c r="I9" s="226"/>
      <c r="J9" s="251">
        <v>429</v>
      </c>
      <c r="K9" s="226">
        <v>411</v>
      </c>
      <c r="L9" s="226"/>
      <c r="M9" s="228"/>
      <c r="N9" s="229">
        <f t="shared" si="0"/>
        <v>2478</v>
      </c>
      <c r="O9" s="224">
        <v>2</v>
      </c>
      <c r="P9" s="224">
        <v>6</v>
      </c>
      <c r="Q9" s="224">
        <v>-86</v>
      </c>
      <c r="R9" s="224">
        <v>0</v>
      </c>
      <c r="S9" s="230"/>
      <c r="T9" s="230"/>
      <c r="U9" s="230">
        <v>1</v>
      </c>
    </row>
    <row r="10" spans="1:21" s="231" customFormat="1" ht="15.75">
      <c r="A10" s="224" t="s">
        <v>4</v>
      </c>
      <c r="B10" s="226" t="s">
        <v>234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29" t="s">
        <v>234</v>
      </c>
      <c r="O10" s="233"/>
      <c r="P10" s="233"/>
      <c r="Q10" s="243"/>
      <c r="R10" s="233"/>
      <c r="S10" s="234"/>
      <c r="T10" s="234"/>
      <c r="U10" s="234"/>
    </row>
    <row r="11" spans="1:21" s="231" customFormat="1" ht="15.75">
      <c r="A11" s="224" t="s">
        <v>5</v>
      </c>
      <c r="B11" s="226" t="s">
        <v>242</v>
      </c>
      <c r="C11" s="226">
        <v>388</v>
      </c>
      <c r="D11" s="226"/>
      <c r="E11" s="226"/>
      <c r="F11" s="226"/>
      <c r="G11" s="251">
        <v>408</v>
      </c>
      <c r="H11" s="226">
        <v>408</v>
      </c>
      <c r="I11" s="226"/>
      <c r="J11" s="251">
        <v>412</v>
      </c>
      <c r="K11" s="251">
        <v>419</v>
      </c>
      <c r="L11" s="226"/>
      <c r="M11" s="228"/>
      <c r="N11" s="229">
        <f t="shared" si="0"/>
        <v>2035</v>
      </c>
      <c r="O11" s="224">
        <v>3</v>
      </c>
      <c r="P11" s="224">
        <v>5</v>
      </c>
      <c r="Q11" s="224">
        <v>-505</v>
      </c>
      <c r="R11" s="224">
        <v>0</v>
      </c>
      <c r="S11" s="230"/>
      <c r="T11" s="230"/>
      <c r="U11" s="230">
        <v>1</v>
      </c>
    </row>
    <row r="12" spans="1:21" s="211" customFormat="1" ht="15.75">
      <c r="A12" s="204" t="s">
        <v>6</v>
      </c>
      <c r="B12" s="206" t="s">
        <v>194</v>
      </c>
      <c r="C12" s="205">
        <v>416</v>
      </c>
      <c r="D12" s="205">
        <v>368</v>
      </c>
      <c r="E12" s="205"/>
      <c r="F12" s="205"/>
      <c r="G12" s="205">
        <v>415</v>
      </c>
      <c r="H12" s="205">
        <v>426</v>
      </c>
      <c r="I12" s="205"/>
      <c r="J12" s="205"/>
      <c r="K12" s="246">
        <v>445</v>
      </c>
      <c r="L12" s="205"/>
      <c r="M12" s="343">
        <v>451</v>
      </c>
      <c r="N12" s="209">
        <f t="shared" si="0"/>
        <v>2521</v>
      </c>
      <c r="O12" s="204">
        <v>2</v>
      </c>
      <c r="P12" s="204">
        <v>6</v>
      </c>
      <c r="Q12" s="204">
        <v>-85</v>
      </c>
      <c r="R12" s="204">
        <v>0</v>
      </c>
      <c r="S12" s="210"/>
      <c r="T12" s="210"/>
      <c r="U12" s="210">
        <v>1</v>
      </c>
    </row>
    <row r="13" spans="1:21" s="231" customFormat="1" ht="15.75">
      <c r="A13" s="224" t="s">
        <v>7</v>
      </c>
      <c r="B13" s="227" t="s">
        <v>238</v>
      </c>
      <c r="C13" s="226">
        <v>391</v>
      </c>
      <c r="D13" s="226"/>
      <c r="E13" s="226"/>
      <c r="F13" s="226"/>
      <c r="G13" s="251">
        <v>442</v>
      </c>
      <c r="H13" s="226">
        <v>399</v>
      </c>
      <c r="I13" s="226"/>
      <c r="J13" s="226">
        <v>410</v>
      </c>
      <c r="K13" s="226">
        <v>394</v>
      </c>
      <c r="L13" s="226"/>
      <c r="M13" s="349">
        <v>428</v>
      </c>
      <c r="N13" s="229">
        <f t="shared" si="0"/>
        <v>2464</v>
      </c>
      <c r="O13" s="224">
        <v>2</v>
      </c>
      <c r="P13" s="224">
        <v>6</v>
      </c>
      <c r="Q13" s="224">
        <v>-37</v>
      </c>
      <c r="R13" s="224">
        <v>0</v>
      </c>
      <c r="S13" s="230"/>
      <c r="T13" s="230"/>
      <c r="U13" s="230">
        <v>1</v>
      </c>
    </row>
    <row r="14" spans="1:21" s="211" customFormat="1" ht="15.75">
      <c r="A14" s="204" t="s">
        <v>8</v>
      </c>
      <c r="B14" s="206" t="s">
        <v>15</v>
      </c>
      <c r="C14" s="205">
        <v>410</v>
      </c>
      <c r="D14" s="205"/>
      <c r="E14" s="205"/>
      <c r="F14" s="205"/>
      <c r="G14" s="205">
        <v>419</v>
      </c>
      <c r="H14" s="205">
        <v>383</v>
      </c>
      <c r="I14" s="205">
        <v>413</v>
      </c>
      <c r="J14" s="205"/>
      <c r="K14" s="246">
        <v>439</v>
      </c>
      <c r="L14" s="205"/>
      <c r="M14" s="343">
        <v>437</v>
      </c>
      <c r="N14" s="209">
        <f t="shared" si="0"/>
        <v>2501</v>
      </c>
      <c r="O14" s="204">
        <v>2</v>
      </c>
      <c r="P14" s="204">
        <v>6</v>
      </c>
      <c r="Q14" s="209">
        <v>-115</v>
      </c>
      <c r="R14" s="204">
        <v>0</v>
      </c>
      <c r="S14" s="210"/>
      <c r="T14" s="210"/>
      <c r="U14" s="210">
        <v>1</v>
      </c>
    </row>
    <row r="15" spans="1:21" s="231" customFormat="1" ht="15.75">
      <c r="A15" s="224" t="s">
        <v>9</v>
      </c>
      <c r="B15" s="226" t="s">
        <v>21</v>
      </c>
      <c r="C15" s="226">
        <v>373</v>
      </c>
      <c r="D15" s="226">
        <v>391</v>
      </c>
      <c r="E15" s="226"/>
      <c r="F15" s="226"/>
      <c r="G15" s="226"/>
      <c r="H15" s="226">
        <v>382</v>
      </c>
      <c r="I15" s="226"/>
      <c r="J15" s="251">
        <v>440</v>
      </c>
      <c r="K15" s="251">
        <v>396</v>
      </c>
      <c r="L15" s="226"/>
      <c r="M15" s="228">
        <v>388</v>
      </c>
      <c r="N15" s="229">
        <f t="shared" si="0"/>
        <v>2370</v>
      </c>
      <c r="O15" s="224">
        <v>2</v>
      </c>
      <c r="P15" s="224">
        <v>6</v>
      </c>
      <c r="Q15" s="229">
        <v>-15</v>
      </c>
      <c r="R15" s="224">
        <v>0</v>
      </c>
      <c r="S15" s="230"/>
      <c r="T15" s="230"/>
      <c r="U15" s="230">
        <v>1</v>
      </c>
    </row>
    <row r="16" spans="1:21" s="211" customFormat="1" ht="15.75">
      <c r="A16" s="204" t="s">
        <v>10</v>
      </c>
      <c r="B16" s="205" t="s">
        <v>20</v>
      </c>
      <c r="C16" s="205">
        <v>375</v>
      </c>
      <c r="D16" s="205">
        <v>371</v>
      </c>
      <c r="E16" s="205"/>
      <c r="F16" s="205"/>
      <c r="G16" s="205"/>
      <c r="H16" s="205">
        <v>393</v>
      </c>
      <c r="I16" s="205"/>
      <c r="J16" s="246">
        <v>440</v>
      </c>
      <c r="K16" s="246">
        <v>423</v>
      </c>
      <c r="L16" s="205">
        <v>397</v>
      </c>
      <c r="M16" s="212"/>
      <c r="N16" s="209">
        <f t="shared" si="0"/>
        <v>2399</v>
      </c>
      <c r="O16" s="204">
        <v>2</v>
      </c>
      <c r="P16" s="204">
        <v>6</v>
      </c>
      <c r="Q16" s="204">
        <v>-85</v>
      </c>
      <c r="R16" s="204">
        <v>0</v>
      </c>
      <c r="S16" s="210"/>
      <c r="T16" s="210"/>
      <c r="U16" s="210">
        <v>1</v>
      </c>
    </row>
    <row r="17" spans="1:21" s="231" customFormat="1" ht="15.75">
      <c r="A17" s="224" t="s">
        <v>11</v>
      </c>
      <c r="B17" s="225" t="s">
        <v>22</v>
      </c>
      <c r="C17" s="226">
        <v>386</v>
      </c>
      <c r="D17" s="226"/>
      <c r="E17" s="226"/>
      <c r="F17" s="226"/>
      <c r="G17" s="251">
        <v>420</v>
      </c>
      <c r="H17" s="226"/>
      <c r="I17" s="226">
        <v>409</v>
      </c>
      <c r="J17" s="226">
        <v>350</v>
      </c>
      <c r="K17" s="226">
        <v>409</v>
      </c>
      <c r="L17" s="226"/>
      <c r="M17" s="349">
        <v>475</v>
      </c>
      <c r="N17" s="229">
        <f t="shared" si="0"/>
        <v>2449</v>
      </c>
      <c r="O17" s="224">
        <v>2</v>
      </c>
      <c r="P17" s="224">
        <v>6</v>
      </c>
      <c r="Q17" s="229">
        <v>-172</v>
      </c>
      <c r="R17" s="224">
        <v>0</v>
      </c>
      <c r="S17" s="230"/>
      <c r="T17" s="230"/>
      <c r="U17" s="230">
        <v>1</v>
      </c>
    </row>
    <row r="18" spans="1:21" s="211" customFormat="1" ht="15.75">
      <c r="A18" s="204" t="s">
        <v>12</v>
      </c>
      <c r="B18" s="205" t="s">
        <v>195</v>
      </c>
      <c r="C18" s="205">
        <v>410</v>
      </c>
      <c r="D18" s="205"/>
      <c r="E18" s="205"/>
      <c r="F18" s="205"/>
      <c r="G18" s="246">
        <v>434</v>
      </c>
      <c r="H18" s="246">
        <v>421</v>
      </c>
      <c r="I18" s="205">
        <v>397</v>
      </c>
      <c r="J18" s="246">
        <v>453</v>
      </c>
      <c r="K18" s="246">
        <v>427</v>
      </c>
      <c r="L18" s="205"/>
      <c r="M18" s="212"/>
      <c r="N18" s="209">
        <f t="shared" si="0"/>
        <v>2542</v>
      </c>
      <c r="O18" s="204">
        <v>6</v>
      </c>
      <c r="P18" s="204">
        <v>2</v>
      </c>
      <c r="Q18" s="209">
        <v>75</v>
      </c>
      <c r="R18" s="204">
        <v>2</v>
      </c>
      <c r="S18" s="210">
        <v>1</v>
      </c>
      <c r="T18" s="210"/>
      <c r="U18" s="210"/>
    </row>
    <row r="19" spans="1:21" s="231" customFormat="1" ht="15.75">
      <c r="A19" s="224" t="s">
        <v>13</v>
      </c>
      <c r="B19" s="226" t="s">
        <v>196</v>
      </c>
      <c r="C19" s="251">
        <v>399</v>
      </c>
      <c r="D19" s="226"/>
      <c r="E19" s="226"/>
      <c r="F19" s="226"/>
      <c r="G19" s="251">
        <v>394</v>
      </c>
      <c r="H19" s="251">
        <v>413</v>
      </c>
      <c r="I19" s="226"/>
      <c r="J19" s="226">
        <v>392</v>
      </c>
      <c r="K19" s="226">
        <v>367</v>
      </c>
      <c r="L19" s="226"/>
      <c r="M19" s="228"/>
      <c r="N19" s="229">
        <f t="shared" si="0"/>
        <v>1965</v>
      </c>
      <c r="O19" s="224">
        <v>3</v>
      </c>
      <c r="P19" s="224">
        <v>5</v>
      </c>
      <c r="Q19" s="229">
        <f>N19-2352</f>
        <v>-387</v>
      </c>
      <c r="R19" s="224">
        <v>0</v>
      </c>
      <c r="S19" s="230"/>
      <c r="T19" s="230"/>
      <c r="U19" s="230">
        <v>1</v>
      </c>
    </row>
    <row r="20" spans="1:21" s="211" customFormat="1" ht="15.75">
      <c r="A20" s="204" t="s">
        <v>14</v>
      </c>
      <c r="B20" s="205" t="s">
        <v>192</v>
      </c>
      <c r="C20" s="205">
        <v>390</v>
      </c>
      <c r="D20" s="205"/>
      <c r="E20" s="205"/>
      <c r="F20" s="205"/>
      <c r="G20" s="246">
        <v>418</v>
      </c>
      <c r="H20" s="205">
        <v>408</v>
      </c>
      <c r="I20" s="205"/>
      <c r="J20" s="205">
        <v>412</v>
      </c>
      <c r="K20" s="205">
        <v>413</v>
      </c>
      <c r="L20" s="205"/>
      <c r="M20" s="343">
        <v>441</v>
      </c>
      <c r="N20" s="209">
        <f t="shared" si="0"/>
        <v>2482</v>
      </c>
      <c r="O20" s="204">
        <v>2</v>
      </c>
      <c r="P20" s="204">
        <v>6</v>
      </c>
      <c r="Q20" s="209">
        <v>-66</v>
      </c>
      <c r="R20" s="204">
        <v>0</v>
      </c>
      <c r="S20" s="210"/>
      <c r="T20" s="210"/>
      <c r="U20" s="210">
        <v>1</v>
      </c>
    </row>
    <row r="21" spans="1:21" s="211" customFormat="1" ht="15.75">
      <c r="A21" s="204" t="s">
        <v>239</v>
      </c>
      <c r="B21" s="205" t="s">
        <v>25</v>
      </c>
      <c r="C21" s="205">
        <v>404</v>
      </c>
      <c r="D21" s="205"/>
      <c r="E21" s="205"/>
      <c r="F21" s="205"/>
      <c r="G21" s="246">
        <v>455</v>
      </c>
      <c r="H21" s="205">
        <v>414</v>
      </c>
      <c r="I21" s="205"/>
      <c r="J21" s="205">
        <v>425</v>
      </c>
      <c r="K21" s="205">
        <v>423</v>
      </c>
      <c r="L21" s="205"/>
      <c r="M21" s="343">
        <v>440</v>
      </c>
      <c r="N21" s="209">
        <f t="shared" si="0"/>
        <v>2561</v>
      </c>
      <c r="O21" s="204">
        <v>2</v>
      </c>
      <c r="P21" s="204">
        <v>6</v>
      </c>
      <c r="Q21" s="209">
        <v>-123</v>
      </c>
      <c r="R21" s="204">
        <v>0</v>
      </c>
      <c r="S21" s="210"/>
      <c r="T21" s="210"/>
      <c r="U21" s="210">
        <v>1</v>
      </c>
    </row>
    <row r="22" spans="1:21" s="231" customFormat="1" ht="16.5" thickBot="1">
      <c r="A22" s="224" t="s">
        <v>240</v>
      </c>
      <c r="B22" s="226" t="s">
        <v>19</v>
      </c>
      <c r="C22" s="280">
        <v>388</v>
      </c>
      <c r="D22" s="167">
        <v>392</v>
      </c>
      <c r="E22" s="167"/>
      <c r="F22" s="280"/>
      <c r="G22" s="167">
        <v>395</v>
      </c>
      <c r="H22" s="280">
        <v>369</v>
      </c>
      <c r="I22" s="280">
        <v>347</v>
      </c>
      <c r="J22" s="280"/>
      <c r="K22" s="280">
        <v>391</v>
      </c>
      <c r="L22" s="280"/>
      <c r="M22" s="280"/>
      <c r="N22" s="236">
        <f>SUM(C22:M22)</f>
        <v>2282</v>
      </c>
      <c r="O22" s="280">
        <v>2</v>
      </c>
      <c r="P22" s="280">
        <v>6</v>
      </c>
      <c r="Q22" s="280">
        <v>-247</v>
      </c>
      <c r="R22" s="280">
        <v>0</v>
      </c>
      <c r="S22" s="280"/>
      <c r="T22" s="280"/>
      <c r="U22" s="280">
        <v>1</v>
      </c>
    </row>
    <row r="23" spans="3:21" ht="16.5" thickTop="1">
      <c r="C23" s="6">
        <f>SUM(C6:C22)</f>
        <v>5945</v>
      </c>
      <c r="D23" s="6">
        <f aca="true" t="shared" si="1" ref="D23:M23">SUM(D6:D22)</f>
        <v>2735</v>
      </c>
      <c r="E23" s="6"/>
      <c r="F23" s="6">
        <f t="shared" si="1"/>
        <v>1261</v>
      </c>
      <c r="G23" s="6">
        <f t="shared" si="1"/>
        <v>5922</v>
      </c>
      <c r="H23" s="6">
        <f t="shared" si="1"/>
        <v>6041</v>
      </c>
      <c r="I23" s="6">
        <f t="shared" si="1"/>
        <v>1946</v>
      </c>
      <c r="J23" s="6">
        <f t="shared" si="1"/>
        <v>4612</v>
      </c>
      <c r="K23" s="6">
        <f t="shared" si="1"/>
        <v>6169</v>
      </c>
      <c r="L23" s="6">
        <f t="shared" si="1"/>
        <v>397</v>
      </c>
      <c r="M23" s="6">
        <f t="shared" si="1"/>
        <v>3446</v>
      </c>
      <c r="S23" s="2">
        <f>SUM(S6:S22)</f>
        <v>2</v>
      </c>
      <c r="T23" s="2">
        <f>SUM(T6:T22)</f>
        <v>0</v>
      </c>
      <c r="U23" s="2">
        <f>SUM(U6:U22)</f>
        <v>14</v>
      </c>
    </row>
    <row r="24" spans="2:13" ht="15.75">
      <c r="B24" s="1" t="s">
        <v>211</v>
      </c>
      <c r="C24" s="6">
        <f>COUNT(C6:C22)</f>
        <v>15</v>
      </c>
      <c r="D24" s="6">
        <f aca="true" t="shared" si="2" ref="D24:M24">COUNT(D6:D22)</f>
        <v>7</v>
      </c>
      <c r="E24" s="6"/>
      <c r="F24" s="6">
        <f t="shared" si="2"/>
        <v>3</v>
      </c>
      <c r="G24" s="6">
        <f t="shared" si="2"/>
        <v>14</v>
      </c>
      <c r="H24" s="6">
        <f t="shared" si="2"/>
        <v>15</v>
      </c>
      <c r="I24" s="6">
        <f t="shared" si="2"/>
        <v>5</v>
      </c>
      <c r="J24" s="6">
        <f t="shared" si="2"/>
        <v>11</v>
      </c>
      <c r="K24" s="6">
        <f t="shared" si="2"/>
        <v>15</v>
      </c>
      <c r="L24" s="6">
        <f t="shared" si="2"/>
        <v>1</v>
      </c>
      <c r="M24" s="6">
        <f t="shared" si="2"/>
        <v>8</v>
      </c>
    </row>
    <row r="25" spans="2:21" ht="31.5">
      <c r="B25" s="11" t="s">
        <v>119</v>
      </c>
      <c r="C25" s="16">
        <f>C23/C24</f>
        <v>396.3333333333333</v>
      </c>
      <c r="D25" s="16">
        <f>D23/D24</f>
        <v>390.7142857142857</v>
      </c>
      <c r="E25" s="16"/>
      <c r="F25" s="16">
        <f aca="true" t="shared" si="3" ref="F25:M25">F23/F24</f>
        <v>420.3333333333333</v>
      </c>
      <c r="G25" s="16">
        <f t="shared" si="3"/>
        <v>423</v>
      </c>
      <c r="H25" s="16">
        <f t="shared" si="3"/>
        <v>402.73333333333335</v>
      </c>
      <c r="I25" s="16">
        <f>I23/I24</f>
        <v>389.2</v>
      </c>
      <c r="J25" s="16">
        <f>J23/J24</f>
        <v>419.27272727272725</v>
      </c>
      <c r="K25" s="16">
        <f>K23/K24</f>
        <v>411.26666666666665</v>
      </c>
      <c r="L25" s="16">
        <f>L23/L24</f>
        <v>397</v>
      </c>
      <c r="M25" s="16">
        <f t="shared" si="3"/>
        <v>430.75</v>
      </c>
      <c r="N25" s="3" t="s">
        <v>29</v>
      </c>
      <c r="O25" s="461" t="s">
        <v>109</v>
      </c>
      <c r="P25" s="461"/>
      <c r="Q25" s="3" t="s">
        <v>30</v>
      </c>
      <c r="R25" s="10" t="s">
        <v>110</v>
      </c>
      <c r="T25" s="63" t="s">
        <v>118</v>
      </c>
      <c r="U25" s="63" t="s">
        <v>209</v>
      </c>
    </row>
    <row r="26" spans="14:21" ht="15.75">
      <c r="N26" s="6">
        <f>SUM(N6:N22)</f>
        <v>38474</v>
      </c>
      <c r="O26" s="1">
        <f>SUM(O6:O22)</f>
        <v>41</v>
      </c>
      <c r="P26" s="1">
        <f>SUM(P6:P22)</f>
        <v>87</v>
      </c>
      <c r="Q26" s="1">
        <f>SUM(Q6:Q22)</f>
        <v>-2116</v>
      </c>
      <c r="R26" s="1">
        <f>SUM(R6:R22)</f>
        <v>4</v>
      </c>
      <c r="T26" s="2">
        <f>O26-P26</f>
        <v>-46</v>
      </c>
      <c r="U26" s="2">
        <f>SUM(S23:U23)</f>
        <v>16</v>
      </c>
    </row>
    <row r="28" spans="3:10" ht="15.75">
      <c r="C28" s="463" t="s">
        <v>37</v>
      </c>
      <c r="D28" s="463"/>
      <c r="E28" s="45"/>
      <c r="F28" s="9"/>
      <c r="G28" s="29" t="s">
        <v>124</v>
      </c>
      <c r="I28" s="462" t="s">
        <v>125</v>
      </c>
      <c r="J28" s="462"/>
    </row>
    <row r="29" spans="1:21" ht="16.5" thickBo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123"/>
      <c r="T29" s="123"/>
      <c r="U29" s="123"/>
    </row>
    <row r="30" ht="15.75">
      <c r="H30" s="40"/>
    </row>
    <row r="31" spans="2:21" ht="37.5" customHeight="1" thickBot="1">
      <c r="B31" s="3" t="s">
        <v>24</v>
      </c>
      <c r="C31" s="8" t="s">
        <v>166</v>
      </c>
      <c r="D31" s="8" t="s">
        <v>167</v>
      </c>
      <c r="E31" s="8" t="s">
        <v>116</v>
      </c>
      <c r="F31" s="8" t="s">
        <v>35</v>
      </c>
      <c r="G31" s="8" t="s">
        <v>168</v>
      </c>
      <c r="H31" s="8" t="s">
        <v>169</v>
      </c>
      <c r="I31" s="8" t="s">
        <v>170</v>
      </c>
      <c r="J31" s="8" t="s">
        <v>140</v>
      </c>
      <c r="K31" s="8" t="s">
        <v>180</v>
      </c>
      <c r="L31" s="398" t="s">
        <v>206</v>
      </c>
      <c r="M31" s="8" t="s">
        <v>31</v>
      </c>
      <c r="N31" s="11" t="s">
        <v>29</v>
      </c>
      <c r="O31" s="11" t="s">
        <v>272</v>
      </c>
      <c r="P31" s="11" t="s">
        <v>28</v>
      </c>
      <c r="Q31" s="11" t="s">
        <v>30</v>
      </c>
      <c r="R31" s="10" t="s">
        <v>108</v>
      </c>
      <c r="S31" s="2" t="s">
        <v>174</v>
      </c>
      <c r="T31" s="2" t="s">
        <v>175</v>
      </c>
      <c r="U31" s="2" t="s">
        <v>176</v>
      </c>
    </row>
    <row r="32" spans="1:21" s="47" customFormat="1" ht="15.75">
      <c r="A32" s="47" t="s">
        <v>145</v>
      </c>
      <c r="B32" s="47" t="s">
        <v>15</v>
      </c>
      <c r="C32" s="202">
        <v>425</v>
      </c>
      <c r="D32" s="35">
        <v>372</v>
      </c>
      <c r="E32" s="35"/>
      <c r="F32" s="35"/>
      <c r="G32" s="35">
        <v>419</v>
      </c>
      <c r="H32" s="35"/>
      <c r="I32" s="35"/>
      <c r="J32" s="35">
        <v>425</v>
      </c>
      <c r="K32" s="202">
        <v>433</v>
      </c>
      <c r="L32" s="202">
        <v>438</v>
      </c>
      <c r="M32" s="35"/>
      <c r="N32" s="263">
        <f>SUM(C32:M32)</f>
        <v>2512</v>
      </c>
      <c r="O32" s="399">
        <v>3</v>
      </c>
      <c r="P32" s="399">
        <v>5</v>
      </c>
      <c r="Q32" s="47">
        <v>-59</v>
      </c>
      <c r="R32" s="47">
        <v>0</v>
      </c>
      <c r="U32" s="47">
        <v>1</v>
      </c>
    </row>
    <row r="33" spans="1:19" s="102" customFormat="1" ht="15.75">
      <c r="A33" s="102" t="s">
        <v>146</v>
      </c>
      <c r="B33" s="34" t="s">
        <v>21</v>
      </c>
      <c r="C33" s="102">
        <v>371</v>
      </c>
      <c r="D33" s="34"/>
      <c r="E33" s="34"/>
      <c r="F33" s="34"/>
      <c r="G33" s="250">
        <v>452</v>
      </c>
      <c r="H33" s="250">
        <v>429</v>
      </c>
      <c r="I33" s="34">
        <v>369</v>
      </c>
      <c r="J33" s="34">
        <v>399</v>
      </c>
      <c r="K33" s="34"/>
      <c r="L33" s="250">
        <v>445</v>
      </c>
      <c r="M33" s="34"/>
      <c r="N33" s="262">
        <f aca="true" t="shared" si="4" ref="N33:N48">SUM(C33:M33)</f>
        <v>2465</v>
      </c>
      <c r="O33" s="102">
        <v>5</v>
      </c>
      <c r="P33" s="102">
        <v>3</v>
      </c>
      <c r="Q33" s="102">
        <v>12</v>
      </c>
      <c r="R33" s="102">
        <v>2</v>
      </c>
      <c r="S33" s="102">
        <v>1</v>
      </c>
    </row>
    <row r="34" spans="1:21" s="47" customFormat="1" ht="15.75">
      <c r="A34" s="47" t="s">
        <v>147</v>
      </c>
      <c r="B34" s="35" t="s">
        <v>20</v>
      </c>
      <c r="C34" s="202">
        <v>426</v>
      </c>
      <c r="D34" s="35"/>
      <c r="E34" s="35"/>
      <c r="F34" s="35"/>
      <c r="G34" s="35"/>
      <c r="H34" s="35">
        <v>381</v>
      </c>
      <c r="I34" s="35"/>
      <c r="J34" s="202">
        <v>430</v>
      </c>
      <c r="K34" s="202">
        <v>423</v>
      </c>
      <c r="L34" s="35">
        <v>421</v>
      </c>
      <c r="M34" s="35">
        <v>408</v>
      </c>
      <c r="N34" s="263">
        <f t="shared" si="4"/>
        <v>2489</v>
      </c>
      <c r="O34" s="47">
        <v>3</v>
      </c>
      <c r="P34" s="47">
        <v>5</v>
      </c>
      <c r="Q34" s="47">
        <v>-20</v>
      </c>
      <c r="R34" s="47">
        <v>0</v>
      </c>
      <c r="U34" s="47">
        <v>1</v>
      </c>
    </row>
    <row r="35" spans="1:21" s="102" customFormat="1" ht="15.75">
      <c r="A35" s="102" t="s">
        <v>148</v>
      </c>
      <c r="B35" s="102" t="s">
        <v>22</v>
      </c>
      <c r="D35" s="34">
        <v>228</v>
      </c>
      <c r="E35" s="34"/>
      <c r="F35" s="34">
        <v>214</v>
      </c>
      <c r="G35" s="250">
        <v>452</v>
      </c>
      <c r="H35" s="250">
        <v>445</v>
      </c>
      <c r="I35" s="34">
        <v>359</v>
      </c>
      <c r="J35" s="34"/>
      <c r="K35" s="34">
        <v>439</v>
      </c>
      <c r="L35" s="250">
        <v>456</v>
      </c>
      <c r="M35" s="34"/>
      <c r="N35" s="262">
        <f t="shared" si="4"/>
        <v>2593</v>
      </c>
      <c r="O35" s="102">
        <v>3</v>
      </c>
      <c r="P35" s="102">
        <v>5</v>
      </c>
      <c r="Q35" s="102">
        <v>-53</v>
      </c>
      <c r="R35" s="102">
        <v>0</v>
      </c>
      <c r="U35" s="102">
        <v>1</v>
      </c>
    </row>
    <row r="36" spans="1:21" s="47" customFormat="1" ht="15.75">
      <c r="A36" s="47" t="s">
        <v>149</v>
      </c>
      <c r="B36" s="35" t="s">
        <v>195</v>
      </c>
      <c r="C36" s="202">
        <v>420</v>
      </c>
      <c r="D36" s="35"/>
      <c r="E36" s="35"/>
      <c r="F36" s="35"/>
      <c r="G36" s="35"/>
      <c r="H36" s="202">
        <v>431</v>
      </c>
      <c r="I36" s="35"/>
      <c r="J36" s="35">
        <v>403</v>
      </c>
      <c r="K36" s="35">
        <v>403</v>
      </c>
      <c r="L36" s="35">
        <v>410</v>
      </c>
      <c r="M36" s="202">
        <v>421</v>
      </c>
      <c r="N36" s="263">
        <f t="shared" si="4"/>
        <v>2488</v>
      </c>
      <c r="O36" s="47">
        <v>3</v>
      </c>
      <c r="P36" s="47">
        <v>5</v>
      </c>
      <c r="Q36" s="47">
        <v>-12</v>
      </c>
      <c r="R36" s="47">
        <v>0</v>
      </c>
      <c r="U36" s="47">
        <v>1</v>
      </c>
    </row>
    <row r="37" spans="1:21" s="102" customFormat="1" ht="15.75">
      <c r="A37" s="102" t="s">
        <v>150</v>
      </c>
      <c r="B37" s="34" t="s">
        <v>196</v>
      </c>
      <c r="C37" s="102">
        <v>419</v>
      </c>
      <c r="D37" s="34">
        <v>380</v>
      </c>
      <c r="E37" s="34"/>
      <c r="F37" s="34"/>
      <c r="G37" s="250">
        <v>447</v>
      </c>
      <c r="H37" s="250">
        <v>462</v>
      </c>
      <c r="I37" s="34">
        <v>379</v>
      </c>
      <c r="J37" s="34"/>
      <c r="K37" s="250">
        <v>433</v>
      </c>
      <c r="L37" s="34"/>
      <c r="M37" s="34"/>
      <c r="N37" s="262">
        <f t="shared" si="4"/>
        <v>2520</v>
      </c>
      <c r="O37" s="102">
        <v>3</v>
      </c>
      <c r="P37" s="102">
        <v>5</v>
      </c>
      <c r="Q37" s="102">
        <v>-54</v>
      </c>
      <c r="R37" s="102">
        <v>0</v>
      </c>
      <c r="U37" s="102">
        <v>1</v>
      </c>
    </row>
    <row r="38" spans="1:21" s="47" customFormat="1" ht="15.75">
      <c r="A38" s="47" t="s">
        <v>151</v>
      </c>
      <c r="B38" s="35" t="s">
        <v>192</v>
      </c>
      <c r="C38" s="47">
        <v>419</v>
      </c>
      <c r="D38" s="35">
        <v>169</v>
      </c>
      <c r="E38" s="35"/>
      <c r="F38" s="35"/>
      <c r="G38" s="202">
        <v>457</v>
      </c>
      <c r="H38" s="202">
        <v>442</v>
      </c>
      <c r="I38" s="35">
        <v>407</v>
      </c>
      <c r="J38" s="35"/>
      <c r="K38" s="35">
        <v>414</v>
      </c>
      <c r="L38" s="35"/>
      <c r="M38" s="35">
        <v>202</v>
      </c>
      <c r="N38" s="263">
        <f t="shared" si="4"/>
        <v>2510</v>
      </c>
      <c r="O38" s="47">
        <v>2</v>
      </c>
      <c r="P38" s="47">
        <v>6</v>
      </c>
      <c r="Q38" s="47">
        <v>-73</v>
      </c>
      <c r="R38" s="47">
        <v>0</v>
      </c>
      <c r="U38" s="47">
        <v>1</v>
      </c>
    </row>
    <row r="39" spans="1:21" s="47" customFormat="1" ht="15.75">
      <c r="A39" s="47" t="s">
        <v>152</v>
      </c>
      <c r="B39" s="35" t="s">
        <v>25</v>
      </c>
      <c r="C39" s="47">
        <v>432</v>
      </c>
      <c r="D39" s="35"/>
      <c r="E39" s="35"/>
      <c r="F39" s="35"/>
      <c r="G39" s="35">
        <v>405</v>
      </c>
      <c r="H39" s="202">
        <v>484</v>
      </c>
      <c r="I39" s="35">
        <v>214</v>
      </c>
      <c r="J39" s="35"/>
      <c r="K39" s="35">
        <v>406</v>
      </c>
      <c r="L39" s="35">
        <v>431</v>
      </c>
      <c r="M39" s="35">
        <v>215</v>
      </c>
      <c r="N39" s="263">
        <f t="shared" si="4"/>
        <v>2587</v>
      </c>
      <c r="O39" s="47">
        <v>1</v>
      </c>
      <c r="P39" s="47">
        <v>7</v>
      </c>
      <c r="Q39" s="47">
        <v>-16</v>
      </c>
      <c r="R39" s="47">
        <v>0</v>
      </c>
      <c r="U39" s="47">
        <v>1</v>
      </c>
    </row>
    <row r="40" spans="1:21" s="102" customFormat="1" ht="15.75">
      <c r="A40" s="102" t="s">
        <v>153</v>
      </c>
      <c r="B40" s="34" t="s">
        <v>19</v>
      </c>
      <c r="C40" s="102">
        <v>421</v>
      </c>
      <c r="D40" s="34"/>
      <c r="E40" s="34"/>
      <c r="F40" s="34"/>
      <c r="G40" s="34"/>
      <c r="H40" s="34">
        <v>384</v>
      </c>
      <c r="I40" s="34">
        <v>397</v>
      </c>
      <c r="J40" s="34">
        <v>418</v>
      </c>
      <c r="K40" s="34">
        <v>419</v>
      </c>
      <c r="L40" s="250">
        <v>438</v>
      </c>
      <c r="M40" s="34"/>
      <c r="N40" s="262">
        <f t="shared" si="4"/>
        <v>2477</v>
      </c>
      <c r="O40" s="102">
        <v>1</v>
      </c>
      <c r="P40" s="102">
        <v>7</v>
      </c>
      <c r="Q40" s="102">
        <v>-138</v>
      </c>
      <c r="R40" s="102">
        <v>0</v>
      </c>
      <c r="U40" s="102">
        <v>1</v>
      </c>
    </row>
    <row r="41" spans="1:21" s="47" customFormat="1" ht="15.75">
      <c r="A41" s="47" t="s">
        <v>154</v>
      </c>
      <c r="B41" s="47" t="s">
        <v>18</v>
      </c>
      <c r="C41" s="47">
        <v>423</v>
      </c>
      <c r="D41" s="35">
        <v>381</v>
      </c>
      <c r="E41" s="35"/>
      <c r="F41" s="35"/>
      <c r="G41" s="35"/>
      <c r="H41" s="202">
        <v>445</v>
      </c>
      <c r="I41" s="35">
        <v>390</v>
      </c>
      <c r="J41" s="35"/>
      <c r="K41" s="35">
        <v>403</v>
      </c>
      <c r="L41" s="35">
        <v>417</v>
      </c>
      <c r="M41" s="35"/>
      <c r="N41" s="263">
        <f t="shared" si="4"/>
        <v>2459</v>
      </c>
      <c r="O41" s="47">
        <v>1</v>
      </c>
      <c r="P41" s="47">
        <v>7</v>
      </c>
      <c r="Q41" s="47">
        <v>-179</v>
      </c>
      <c r="R41" s="47">
        <v>0</v>
      </c>
      <c r="U41" s="47">
        <v>1</v>
      </c>
    </row>
    <row r="42" spans="1:21" s="102" customFormat="1" ht="15.75">
      <c r="A42" s="102" t="s">
        <v>155</v>
      </c>
      <c r="B42" s="102" t="s">
        <v>17</v>
      </c>
      <c r="C42" s="102">
        <v>396</v>
      </c>
      <c r="D42" s="250">
        <v>190</v>
      </c>
      <c r="E42" s="34"/>
      <c r="F42" s="34"/>
      <c r="G42" s="34"/>
      <c r="H42" s="34">
        <v>389</v>
      </c>
      <c r="I42" s="34">
        <v>376</v>
      </c>
      <c r="J42" s="34">
        <v>411</v>
      </c>
      <c r="K42" s="34">
        <v>402</v>
      </c>
      <c r="L42" s="34"/>
      <c r="M42" s="250">
        <v>221</v>
      </c>
      <c r="N42" s="262">
        <f t="shared" si="4"/>
        <v>2385</v>
      </c>
      <c r="O42" s="102">
        <v>1</v>
      </c>
      <c r="P42" s="102">
        <v>7</v>
      </c>
      <c r="Q42" s="102">
        <v>-187</v>
      </c>
      <c r="R42" s="102">
        <v>0</v>
      </c>
      <c r="U42" s="102">
        <v>1</v>
      </c>
    </row>
    <row r="43" spans="1:21" s="47" customFormat="1" ht="15.75">
      <c r="A43" s="47" t="s">
        <v>156</v>
      </c>
      <c r="B43" s="47" t="s">
        <v>193</v>
      </c>
      <c r="C43" s="47">
        <v>379</v>
      </c>
      <c r="D43" s="35"/>
      <c r="E43" s="35"/>
      <c r="F43" s="35"/>
      <c r="G43" s="35"/>
      <c r="H43" s="35">
        <v>367</v>
      </c>
      <c r="I43" s="35">
        <v>399</v>
      </c>
      <c r="J43" s="202">
        <v>425</v>
      </c>
      <c r="K43" s="202">
        <v>442</v>
      </c>
      <c r="L43" s="202">
        <v>441</v>
      </c>
      <c r="M43" s="35"/>
      <c r="N43" s="263">
        <f t="shared" si="4"/>
        <v>2453</v>
      </c>
      <c r="O43" s="47">
        <v>3</v>
      </c>
      <c r="P43" s="47">
        <v>5</v>
      </c>
      <c r="Q43" s="47">
        <v>-4</v>
      </c>
      <c r="R43" s="47">
        <v>0</v>
      </c>
      <c r="U43" s="47">
        <v>1</v>
      </c>
    </row>
    <row r="44" spans="1:21" s="102" customFormat="1" ht="15.75">
      <c r="A44" s="102" t="s">
        <v>157</v>
      </c>
      <c r="B44" s="102" t="s">
        <v>241</v>
      </c>
      <c r="C44" s="250">
        <v>452</v>
      </c>
      <c r="D44" s="34"/>
      <c r="E44" s="34">
        <v>399</v>
      </c>
      <c r="F44" s="34"/>
      <c r="G44" s="34"/>
      <c r="H44" s="34">
        <v>420</v>
      </c>
      <c r="I44" s="34">
        <v>389</v>
      </c>
      <c r="J44" s="34"/>
      <c r="K44" s="34">
        <v>411</v>
      </c>
      <c r="L44" s="34">
        <v>436</v>
      </c>
      <c r="M44" s="34"/>
      <c r="N44" s="262">
        <f t="shared" si="4"/>
        <v>2507</v>
      </c>
      <c r="O44" s="102">
        <v>1</v>
      </c>
      <c r="P44" s="102">
        <v>7</v>
      </c>
      <c r="Q44" s="102">
        <v>-121</v>
      </c>
      <c r="R44" s="102">
        <v>0</v>
      </c>
      <c r="U44" s="102">
        <v>1</v>
      </c>
    </row>
    <row r="45" spans="1:14" s="146" customFormat="1" ht="15.75">
      <c r="A45" s="146" t="s">
        <v>243</v>
      </c>
      <c r="B45" s="149" t="s">
        <v>234</v>
      </c>
      <c r="C45" s="176"/>
      <c r="D45" s="173"/>
      <c r="E45" s="173"/>
      <c r="F45" s="173"/>
      <c r="G45" s="173"/>
      <c r="H45" s="173"/>
      <c r="I45" s="173"/>
      <c r="J45" s="173"/>
      <c r="K45" s="173"/>
      <c r="L45" s="173"/>
      <c r="M45" s="174"/>
      <c r="N45" s="265" t="s">
        <v>234</v>
      </c>
    </row>
    <row r="46" spans="1:21" s="102" customFormat="1" ht="15.75">
      <c r="A46" s="102" t="s">
        <v>244</v>
      </c>
      <c r="B46" s="34" t="s">
        <v>242</v>
      </c>
      <c r="C46" s="102">
        <v>424</v>
      </c>
      <c r="D46" s="34"/>
      <c r="E46" s="250">
        <v>427</v>
      </c>
      <c r="F46" s="34"/>
      <c r="G46" s="34"/>
      <c r="H46" s="250">
        <v>448</v>
      </c>
      <c r="I46" s="34">
        <v>416</v>
      </c>
      <c r="J46" s="34">
        <v>384</v>
      </c>
      <c r="K46" s="34">
        <v>414</v>
      </c>
      <c r="L46" s="34"/>
      <c r="M46" s="34"/>
      <c r="N46" s="262">
        <f t="shared" si="4"/>
        <v>2513</v>
      </c>
      <c r="O46" s="102">
        <v>2</v>
      </c>
      <c r="P46" s="102">
        <v>6</v>
      </c>
      <c r="Q46" s="102">
        <v>-53</v>
      </c>
      <c r="R46" s="102">
        <v>0</v>
      </c>
      <c r="U46" s="102">
        <v>1</v>
      </c>
    </row>
    <row r="47" spans="1:21" s="47" customFormat="1" ht="15.75">
      <c r="A47" s="47" t="s">
        <v>266</v>
      </c>
      <c r="B47" s="47" t="s">
        <v>194</v>
      </c>
      <c r="C47" s="434">
        <v>430</v>
      </c>
      <c r="D47" s="35">
        <v>420</v>
      </c>
      <c r="E47" s="35"/>
      <c r="F47" s="35"/>
      <c r="G47" s="35"/>
      <c r="H47" s="35">
        <v>395</v>
      </c>
      <c r="I47" s="35">
        <v>416</v>
      </c>
      <c r="J47" s="35"/>
      <c r="K47" s="35">
        <v>401</v>
      </c>
      <c r="L47" s="434">
        <v>471</v>
      </c>
      <c r="M47" s="35"/>
      <c r="N47" s="263">
        <f t="shared" si="4"/>
        <v>2533</v>
      </c>
      <c r="O47" s="47">
        <v>2</v>
      </c>
      <c r="P47" s="47">
        <v>6</v>
      </c>
      <c r="Q47" s="47">
        <v>-135</v>
      </c>
      <c r="R47" s="47">
        <v>0</v>
      </c>
      <c r="U47" s="47">
        <v>1</v>
      </c>
    </row>
    <row r="48" spans="1:21" s="34" customFormat="1" ht="16.5" thickBot="1">
      <c r="A48" s="34" t="s">
        <v>267</v>
      </c>
      <c r="B48" s="36" t="s">
        <v>238</v>
      </c>
      <c r="C48" s="34">
        <v>407</v>
      </c>
      <c r="D48" s="150"/>
      <c r="E48" s="150">
        <v>379</v>
      </c>
      <c r="F48" s="150"/>
      <c r="G48" s="150"/>
      <c r="H48" s="442">
        <v>418</v>
      </c>
      <c r="I48" s="150">
        <v>408</v>
      </c>
      <c r="J48" s="150"/>
      <c r="K48" s="442">
        <v>434</v>
      </c>
      <c r="L48" s="442">
        <v>427</v>
      </c>
      <c r="M48" s="150"/>
      <c r="N48" s="262">
        <f t="shared" si="4"/>
        <v>2473</v>
      </c>
      <c r="O48" s="150">
        <v>5</v>
      </c>
      <c r="P48" s="150">
        <v>3</v>
      </c>
      <c r="Q48" s="150">
        <v>75</v>
      </c>
      <c r="R48" s="150">
        <v>2</v>
      </c>
      <c r="S48" s="150">
        <v>1</v>
      </c>
      <c r="T48" s="150"/>
      <c r="U48" s="150"/>
    </row>
    <row r="49" spans="3:21" ht="16.5" thickTop="1">
      <c r="C49" s="7">
        <f>SUM(C32:C48)</f>
        <v>6244</v>
      </c>
      <c r="D49" s="7">
        <f>SUM(D32:D34)+SUM(D43:D48)+SUM(D36:D37)+SUM(D39:D41)</f>
        <v>1553</v>
      </c>
      <c r="E49" s="7">
        <f>SUM(E32:E34)+SUM(E43:E48)+SUM(E36:E37)+SUM(E39:E41)</f>
        <v>1205</v>
      </c>
      <c r="F49" s="7">
        <f>SUM(F36:F48)</f>
        <v>0</v>
      </c>
      <c r="G49" s="7">
        <f aca="true" t="shared" si="5" ref="G49:L49">SUM(G32:G48)</f>
        <v>2632</v>
      </c>
      <c r="H49" s="7">
        <f t="shared" si="5"/>
        <v>6340</v>
      </c>
      <c r="I49" s="7">
        <f>SUM(I32:I38)+SUM(I40:I48)</f>
        <v>4705</v>
      </c>
      <c r="J49" s="7">
        <f t="shared" si="5"/>
        <v>3295</v>
      </c>
      <c r="K49" s="7">
        <f t="shared" si="5"/>
        <v>6277</v>
      </c>
      <c r="L49" s="7">
        <f t="shared" si="5"/>
        <v>5231</v>
      </c>
      <c r="M49" s="7">
        <f>SUM(M32:M37)+SUM(M43:M48)</f>
        <v>829</v>
      </c>
      <c r="O49" s="1">
        <f>SUM(O32:O48)</f>
        <v>39</v>
      </c>
      <c r="P49" s="1">
        <f>SUM(P32:P48)</f>
        <v>89</v>
      </c>
      <c r="Q49" s="1">
        <f>SUM(Q32:Q48)</f>
        <v>-1017</v>
      </c>
      <c r="R49" s="1">
        <f>SUM(R32:R48)</f>
        <v>4</v>
      </c>
      <c r="S49" s="1">
        <f>SUM(S32:S48)+S23</f>
        <v>4</v>
      </c>
      <c r="T49" s="1">
        <f>SUM(T32:T48)+T23</f>
        <v>0</v>
      </c>
      <c r="U49" s="1">
        <f>SUM(U32:U48)+U23</f>
        <v>28</v>
      </c>
    </row>
    <row r="50" spans="2:13" ht="15.75">
      <c r="B50" s="57" t="s">
        <v>231</v>
      </c>
      <c r="C50" s="1">
        <f>COUNT(C32:C48)</f>
        <v>15</v>
      </c>
      <c r="D50" s="7">
        <f>COUNT(D32:D34)+COUNT(D43:D48)+COUNT(D36:D37)+COUNT(D39:D41)</f>
        <v>4</v>
      </c>
      <c r="E50" s="7">
        <f>COUNT(E32:E34)+COUNT(E43:E48)+COUNT(E36:E37)+COUNT(E39:E41)</f>
        <v>3</v>
      </c>
      <c r="F50" s="1">
        <f>COUNT(F36:F48)</f>
        <v>0</v>
      </c>
      <c r="G50" s="1">
        <f aca="true" t="shared" si="6" ref="G50:L50">COUNT(G32:G48)</f>
        <v>6</v>
      </c>
      <c r="H50" s="1">
        <f t="shared" si="6"/>
        <v>15</v>
      </c>
      <c r="I50" s="7">
        <f>COUNT(I32:I38)+COUNT(I40:I48)</f>
        <v>12</v>
      </c>
      <c r="J50" s="1">
        <f t="shared" si="6"/>
        <v>8</v>
      </c>
      <c r="K50" s="1">
        <f t="shared" si="6"/>
        <v>15</v>
      </c>
      <c r="L50" s="1">
        <f t="shared" si="6"/>
        <v>12</v>
      </c>
      <c r="M50" s="7">
        <f>COUNT(M32:M37)+COUNT(M43:M48)</f>
        <v>2</v>
      </c>
    </row>
    <row r="51" spans="2:21" ht="31.5">
      <c r="B51" s="11" t="s">
        <v>230</v>
      </c>
      <c r="C51" s="16">
        <f aca="true" t="shared" si="7" ref="C51:M51">C49/C50</f>
        <v>416.26666666666665</v>
      </c>
      <c r="D51" s="16">
        <f t="shared" si="7"/>
        <v>388.25</v>
      </c>
      <c r="E51" s="16">
        <f t="shared" si="7"/>
        <v>401.6666666666667</v>
      </c>
      <c r="F51" s="16"/>
      <c r="G51" s="16">
        <f>G49/G50</f>
        <v>438.6666666666667</v>
      </c>
      <c r="H51" s="16">
        <f t="shared" si="7"/>
        <v>422.6666666666667</v>
      </c>
      <c r="I51" s="16">
        <f t="shared" si="7"/>
        <v>392.0833333333333</v>
      </c>
      <c r="J51" s="16">
        <f t="shared" si="7"/>
        <v>411.875</v>
      </c>
      <c r="K51" s="16">
        <f t="shared" si="7"/>
        <v>418.46666666666664</v>
      </c>
      <c r="L51" s="16">
        <f t="shared" si="7"/>
        <v>435.9166666666667</v>
      </c>
      <c r="M51" s="16">
        <f t="shared" si="7"/>
        <v>414.5</v>
      </c>
      <c r="N51" s="3" t="s">
        <v>29</v>
      </c>
      <c r="O51" s="461" t="s">
        <v>109</v>
      </c>
      <c r="P51" s="461"/>
      <c r="Q51" s="3" t="s">
        <v>30</v>
      </c>
      <c r="R51" s="10" t="s">
        <v>110</v>
      </c>
      <c r="T51" s="63" t="s">
        <v>118</v>
      </c>
      <c r="U51" s="63" t="s">
        <v>209</v>
      </c>
    </row>
    <row r="52" spans="14:21" ht="15.75">
      <c r="N52" s="6">
        <f>SUM(N32:N48)+N26</f>
        <v>78438</v>
      </c>
      <c r="O52" s="6">
        <f>SUM(O32:O48)+O26</f>
        <v>80</v>
      </c>
      <c r="P52" s="6">
        <f>SUM(P32:P48)+P26</f>
        <v>176</v>
      </c>
      <c r="Q52" s="6">
        <f>SUM(Q32:Q48)+Q26</f>
        <v>-3133</v>
      </c>
      <c r="R52" s="6">
        <f>SUM(R32:R48)+R26</f>
        <v>8</v>
      </c>
      <c r="T52" s="2">
        <f>O52-P52</f>
        <v>-96</v>
      </c>
      <c r="U52" s="2">
        <f>SUM(S49:U49)</f>
        <v>32</v>
      </c>
    </row>
    <row r="54" spans="14:15" ht="15.75">
      <c r="N54" s="1" t="s">
        <v>120</v>
      </c>
      <c r="O54" s="18">
        <f>N52/U52</f>
        <v>2451.1875</v>
      </c>
    </row>
  </sheetData>
  <sheetProtection/>
  <mergeCells count="8">
    <mergeCell ref="O51:P51"/>
    <mergeCell ref="F1:G1"/>
    <mergeCell ref="O4:P4"/>
    <mergeCell ref="C28:D28"/>
    <mergeCell ref="O25:P25"/>
    <mergeCell ref="I1:J1"/>
    <mergeCell ref="I28:J28"/>
    <mergeCell ref="C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V54"/>
  <sheetViews>
    <sheetView zoomScale="85" zoomScaleNormal="85" zoomScalePageLayoutView="0" workbookViewId="0" topLeftCell="A27">
      <selection activeCell="M48" sqref="M48"/>
    </sheetView>
  </sheetViews>
  <sheetFormatPr defaultColWidth="9.00390625" defaultRowHeight="12.75"/>
  <cols>
    <col min="1" max="1" width="11.25390625" style="1" bestFit="1" customWidth="1"/>
    <col min="2" max="2" width="21.75390625" style="1" customWidth="1"/>
    <col min="3" max="7" width="9.125" style="1" customWidth="1"/>
    <col min="8" max="8" width="10.625" style="1" customWidth="1"/>
    <col min="9" max="9" width="10.375" style="1" bestFit="1" customWidth="1"/>
    <col min="10" max="10" width="9.125" style="1" customWidth="1"/>
    <col min="11" max="11" width="10.875" style="1" customWidth="1"/>
    <col min="12" max="12" width="15.75390625" style="1" customWidth="1"/>
    <col min="13" max="13" width="18.25390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1.00390625" style="1" customWidth="1"/>
    <col min="19" max="19" width="11.75390625" style="0" customWidth="1"/>
    <col min="20" max="20" width="11.25390625" style="0" customWidth="1"/>
  </cols>
  <sheetData>
    <row r="1" spans="1:14" ht="15.75">
      <c r="A1" s="48" t="s">
        <v>133</v>
      </c>
      <c r="B1" s="49"/>
      <c r="C1" s="49" t="s">
        <v>251</v>
      </c>
      <c r="D1" s="49" t="s">
        <v>131</v>
      </c>
      <c r="E1" s="459" t="s">
        <v>132</v>
      </c>
      <c r="F1" s="459"/>
      <c r="G1" s="49"/>
      <c r="I1" s="455" t="s">
        <v>143</v>
      </c>
      <c r="J1" s="455"/>
      <c r="K1" s="11" t="s">
        <v>144</v>
      </c>
      <c r="L1" s="13" t="s">
        <v>118</v>
      </c>
      <c r="M1" s="1" t="s">
        <v>120</v>
      </c>
      <c r="N1" s="18">
        <f>M26/T26</f>
        <v>2407.0625</v>
      </c>
    </row>
    <row r="2" spans="9:14" ht="15.75">
      <c r="I2" s="1">
        <f>N26+N49</f>
        <v>76</v>
      </c>
      <c r="J2" s="1">
        <f>O26+O49</f>
        <v>180</v>
      </c>
      <c r="K2" s="1">
        <f>Q26+Q49</f>
        <v>9</v>
      </c>
      <c r="L2" s="1">
        <f>I2-J2</f>
        <v>-104</v>
      </c>
      <c r="M2" s="1" t="s">
        <v>216</v>
      </c>
      <c r="N2" s="6">
        <f>M6+M8+M10+M12+M13+M15+M17+M19+M21+M34+M36+M38+M40+M42+M44+M46</f>
        <v>38768</v>
      </c>
    </row>
    <row r="4" spans="3:20" ht="15.75">
      <c r="C4" s="461" t="s">
        <v>26</v>
      </c>
      <c r="D4" s="461"/>
      <c r="E4" s="461"/>
      <c r="F4" s="461"/>
      <c r="G4" s="461"/>
      <c r="H4" s="461"/>
      <c r="I4" s="461"/>
      <c r="J4" s="461"/>
      <c r="K4" s="461"/>
      <c r="L4" s="461"/>
      <c r="N4" s="461" t="s">
        <v>27</v>
      </c>
      <c r="O4" s="461"/>
      <c r="R4" s="2"/>
      <c r="S4" s="2"/>
      <c r="T4" s="2"/>
    </row>
    <row r="5" spans="2:20" ht="34.5" customHeight="1" thickBot="1">
      <c r="B5" s="3" t="s">
        <v>24</v>
      </c>
      <c r="C5" s="8" t="s">
        <v>158</v>
      </c>
      <c r="D5" s="8" t="s">
        <v>65</v>
      </c>
      <c r="E5" s="8" t="s">
        <v>159</v>
      </c>
      <c r="F5" s="8" t="s">
        <v>160</v>
      </c>
      <c r="G5" s="8" t="s">
        <v>270</v>
      </c>
      <c r="H5" s="8" t="s">
        <v>92</v>
      </c>
      <c r="I5" s="8" t="s">
        <v>142</v>
      </c>
      <c r="J5" s="8" t="s">
        <v>283</v>
      </c>
      <c r="K5" s="8" t="s">
        <v>126</v>
      </c>
      <c r="L5" s="140" t="s">
        <v>265</v>
      </c>
      <c r="M5" s="11" t="s">
        <v>29</v>
      </c>
      <c r="N5" s="11" t="s">
        <v>193</v>
      </c>
      <c r="O5" s="11" t="s">
        <v>28</v>
      </c>
      <c r="P5" s="11" t="s">
        <v>30</v>
      </c>
      <c r="Q5" s="10" t="s">
        <v>108</v>
      </c>
      <c r="R5" s="2" t="s">
        <v>174</v>
      </c>
      <c r="S5" s="2" t="s">
        <v>175</v>
      </c>
      <c r="T5" s="2" t="s">
        <v>176</v>
      </c>
    </row>
    <row r="6" spans="1:20" s="231" customFormat="1" ht="15.75">
      <c r="A6" s="224" t="s">
        <v>0</v>
      </c>
      <c r="B6" s="226" t="s">
        <v>196</v>
      </c>
      <c r="C6" s="226">
        <v>368</v>
      </c>
      <c r="D6" s="226">
        <v>358</v>
      </c>
      <c r="E6" s="251">
        <v>405</v>
      </c>
      <c r="F6" s="251">
        <v>392</v>
      </c>
      <c r="G6" s="226"/>
      <c r="H6" s="226">
        <v>369</v>
      </c>
      <c r="I6" s="226"/>
      <c r="J6" s="226">
        <v>335</v>
      </c>
      <c r="K6" s="226"/>
      <c r="L6" s="228"/>
      <c r="M6" s="229">
        <f aca="true" t="shared" si="0" ref="M6:M18">SUM(C6:L6)</f>
        <v>2227</v>
      </c>
      <c r="N6" s="224">
        <v>2</v>
      </c>
      <c r="O6" s="224">
        <v>6</v>
      </c>
      <c r="P6" s="229">
        <f>M6-2281</f>
        <v>-54</v>
      </c>
      <c r="Q6" s="224">
        <v>0</v>
      </c>
      <c r="R6" s="230"/>
      <c r="S6" s="230"/>
      <c r="T6" s="230">
        <v>1</v>
      </c>
    </row>
    <row r="7" spans="1:20" s="211" customFormat="1" ht="15.75">
      <c r="A7" s="204" t="s">
        <v>1</v>
      </c>
      <c r="B7" s="205" t="s">
        <v>192</v>
      </c>
      <c r="C7" s="205">
        <v>385</v>
      </c>
      <c r="D7" s="205">
        <v>400</v>
      </c>
      <c r="E7" s="205">
        <v>382</v>
      </c>
      <c r="F7" s="205">
        <v>399</v>
      </c>
      <c r="G7" s="205"/>
      <c r="H7" s="246">
        <v>471</v>
      </c>
      <c r="I7" s="205"/>
      <c r="J7" s="205">
        <v>381</v>
      </c>
      <c r="K7" s="205"/>
      <c r="L7" s="212"/>
      <c r="M7" s="209">
        <f t="shared" si="0"/>
        <v>2418</v>
      </c>
      <c r="N7" s="204">
        <v>1</v>
      </c>
      <c r="O7" s="204">
        <v>7</v>
      </c>
      <c r="P7" s="204">
        <v>-76</v>
      </c>
      <c r="Q7" s="204">
        <v>0</v>
      </c>
      <c r="R7" s="210"/>
      <c r="S7" s="210"/>
      <c r="T7" s="210">
        <v>1</v>
      </c>
    </row>
    <row r="8" spans="1:20" s="231" customFormat="1" ht="15.75">
      <c r="A8" s="224" t="s">
        <v>2</v>
      </c>
      <c r="B8" s="226" t="s">
        <v>272</v>
      </c>
      <c r="C8" s="226"/>
      <c r="D8" s="251">
        <v>446</v>
      </c>
      <c r="E8" s="226">
        <v>405</v>
      </c>
      <c r="F8" s="226">
        <v>368</v>
      </c>
      <c r="G8" s="226"/>
      <c r="H8" s="226">
        <v>418</v>
      </c>
      <c r="I8" s="226"/>
      <c r="J8" s="226">
        <v>369</v>
      </c>
      <c r="K8" s="251">
        <v>463</v>
      </c>
      <c r="L8" s="228"/>
      <c r="M8" s="229">
        <f t="shared" si="0"/>
        <v>2469</v>
      </c>
      <c r="N8" s="224">
        <v>2</v>
      </c>
      <c r="O8" s="224">
        <v>6</v>
      </c>
      <c r="P8" s="229">
        <f>M8-2584</f>
        <v>-115</v>
      </c>
      <c r="Q8" s="224">
        <v>0</v>
      </c>
      <c r="R8" s="230"/>
      <c r="S8" s="230"/>
      <c r="T8" s="230">
        <v>1</v>
      </c>
    </row>
    <row r="9" spans="1:20" s="211" customFormat="1" ht="15.75">
      <c r="A9" s="204" t="s">
        <v>3</v>
      </c>
      <c r="B9" s="205" t="s">
        <v>19</v>
      </c>
      <c r="C9" s="205">
        <v>361</v>
      </c>
      <c r="D9" s="246">
        <v>434</v>
      </c>
      <c r="E9" s="205">
        <v>388</v>
      </c>
      <c r="F9" s="246">
        <v>414</v>
      </c>
      <c r="G9" s="205"/>
      <c r="H9" s="205">
        <v>387</v>
      </c>
      <c r="I9" s="205"/>
      <c r="J9" s="205">
        <v>366</v>
      </c>
      <c r="K9" s="205"/>
      <c r="L9" s="212"/>
      <c r="M9" s="209">
        <f t="shared" si="0"/>
        <v>2350</v>
      </c>
      <c r="N9" s="204">
        <v>2</v>
      </c>
      <c r="O9" s="204">
        <v>6</v>
      </c>
      <c r="P9" s="209">
        <v>-128</v>
      </c>
      <c r="Q9" s="204">
        <v>0</v>
      </c>
      <c r="R9" s="210"/>
      <c r="S9" s="210"/>
      <c r="T9" s="210">
        <v>1</v>
      </c>
    </row>
    <row r="10" spans="1:20" s="231" customFormat="1" ht="15.75">
      <c r="A10" s="224" t="s">
        <v>4</v>
      </c>
      <c r="B10" s="225" t="s">
        <v>18</v>
      </c>
      <c r="C10" s="226"/>
      <c r="D10" s="227">
        <v>410</v>
      </c>
      <c r="E10" s="226">
        <v>379</v>
      </c>
      <c r="F10" s="226">
        <v>415</v>
      </c>
      <c r="G10" s="226"/>
      <c r="H10" s="227">
        <v>363</v>
      </c>
      <c r="I10" s="226"/>
      <c r="J10" s="227">
        <v>412</v>
      </c>
      <c r="K10" s="251">
        <v>452</v>
      </c>
      <c r="L10" s="228"/>
      <c r="M10" s="229">
        <f t="shared" si="0"/>
        <v>2431</v>
      </c>
      <c r="N10" s="224">
        <v>1</v>
      </c>
      <c r="O10" s="224">
        <v>7</v>
      </c>
      <c r="P10" s="229">
        <v>-176</v>
      </c>
      <c r="Q10" s="224">
        <v>0</v>
      </c>
      <c r="R10" s="230"/>
      <c r="S10" s="230"/>
      <c r="T10" s="230">
        <v>1</v>
      </c>
    </row>
    <row r="11" spans="1:20" s="211" customFormat="1" ht="15.75">
      <c r="A11" s="204" t="s">
        <v>5</v>
      </c>
      <c r="B11" s="206" t="s">
        <v>17</v>
      </c>
      <c r="C11" s="246">
        <v>421</v>
      </c>
      <c r="D11" s="205">
        <v>407</v>
      </c>
      <c r="E11" s="246">
        <v>417</v>
      </c>
      <c r="F11" s="205">
        <v>414</v>
      </c>
      <c r="G11" s="205"/>
      <c r="H11" s="205">
        <v>398</v>
      </c>
      <c r="I11" s="205"/>
      <c r="J11" s="205">
        <v>410</v>
      </c>
      <c r="K11" s="205"/>
      <c r="L11" s="212"/>
      <c r="M11" s="209">
        <f t="shared" si="0"/>
        <v>2467</v>
      </c>
      <c r="N11" s="204">
        <v>2</v>
      </c>
      <c r="O11" s="204">
        <v>6</v>
      </c>
      <c r="P11" s="204">
        <v>-87</v>
      </c>
      <c r="Q11" s="204">
        <v>0</v>
      </c>
      <c r="R11" s="210"/>
      <c r="S11" s="210"/>
      <c r="T11" s="210">
        <v>1</v>
      </c>
    </row>
    <row r="12" spans="1:20" s="231" customFormat="1" ht="15.75">
      <c r="A12" s="224" t="s">
        <v>6</v>
      </c>
      <c r="B12" s="225" t="s">
        <v>25</v>
      </c>
      <c r="C12" s="226"/>
      <c r="D12" s="226">
        <v>391</v>
      </c>
      <c r="E12" s="226">
        <v>408</v>
      </c>
      <c r="F12" s="226">
        <v>425</v>
      </c>
      <c r="G12" s="226"/>
      <c r="H12" s="226">
        <v>422</v>
      </c>
      <c r="I12" s="226"/>
      <c r="J12" s="226">
        <v>398</v>
      </c>
      <c r="K12" s="251">
        <v>445</v>
      </c>
      <c r="L12" s="228"/>
      <c r="M12" s="229">
        <f t="shared" si="0"/>
        <v>2489</v>
      </c>
      <c r="N12" s="224">
        <v>1</v>
      </c>
      <c r="O12" s="224">
        <v>7</v>
      </c>
      <c r="P12" s="229">
        <v>-176</v>
      </c>
      <c r="Q12" s="224">
        <v>0</v>
      </c>
      <c r="R12" s="230"/>
      <c r="S12" s="230"/>
      <c r="T12" s="230">
        <v>1</v>
      </c>
    </row>
    <row r="13" spans="1:20" s="231" customFormat="1" ht="15.75">
      <c r="A13" s="224" t="s">
        <v>7</v>
      </c>
      <c r="B13" s="225" t="s">
        <v>241</v>
      </c>
      <c r="C13" s="226">
        <v>341</v>
      </c>
      <c r="D13" s="226"/>
      <c r="E13" s="226">
        <v>385</v>
      </c>
      <c r="F13" s="251">
        <v>441</v>
      </c>
      <c r="G13" s="226"/>
      <c r="H13" s="226">
        <v>417</v>
      </c>
      <c r="I13" s="226"/>
      <c r="J13" s="226">
        <v>386</v>
      </c>
      <c r="K13" s="251">
        <v>449</v>
      </c>
      <c r="L13" s="228"/>
      <c r="M13" s="229">
        <f t="shared" si="0"/>
        <v>2419</v>
      </c>
      <c r="N13" s="224">
        <v>2</v>
      </c>
      <c r="O13" s="224">
        <v>6</v>
      </c>
      <c r="P13" s="224">
        <v>-200</v>
      </c>
      <c r="Q13" s="224">
        <v>0</v>
      </c>
      <c r="R13" s="230"/>
      <c r="S13" s="230"/>
      <c r="T13" s="230">
        <v>1</v>
      </c>
    </row>
    <row r="14" spans="1:20" s="223" customFormat="1" ht="15.75">
      <c r="A14" s="217" t="s">
        <v>8</v>
      </c>
      <c r="B14" s="218" t="s">
        <v>234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20"/>
      <c r="M14" s="237" t="s">
        <v>234</v>
      </c>
      <c r="N14" s="221"/>
      <c r="O14" s="221"/>
      <c r="P14" s="221"/>
      <c r="Q14" s="221"/>
      <c r="R14" s="222"/>
      <c r="S14" s="222"/>
      <c r="T14" s="222"/>
    </row>
    <row r="15" spans="1:20" s="231" customFormat="1" ht="15.75">
      <c r="A15" s="224" t="s">
        <v>9</v>
      </c>
      <c r="B15" s="226" t="s">
        <v>242</v>
      </c>
      <c r="C15" s="226">
        <v>362</v>
      </c>
      <c r="D15" s="251">
        <v>432</v>
      </c>
      <c r="E15" s="251">
        <v>406</v>
      </c>
      <c r="F15" s="226">
        <v>400</v>
      </c>
      <c r="G15" s="226"/>
      <c r="H15" s="226">
        <v>389</v>
      </c>
      <c r="I15" s="226"/>
      <c r="J15" s="226">
        <v>401</v>
      </c>
      <c r="K15" s="226"/>
      <c r="L15" s="228"/>
      <c r="M15" s="229">
        <f t="shared" si="0"/>
        <v>2390</v>
      </c>
      <c r="N15" s="224">
        <v>2</v>
      </c>
      <c r="O15" s="224">
        <v>6</v>
      </c>
      <c r="P15" s="229">
        <f>M15-2539</f>
        <v>-149</v>
      </c>
      <c r="Q15" s="224">
        <v>0</v>
      </c>
      <c r="R15" s="230"/>
      <c r="S15" s="230"/>
      <c r="T15" s="230">
        <v>1</v>
      </c>
    </row>
    <row r="16" spans="1:20" s="102" customFormat="1" ht="15.75">
      <c r="A16" s="102" t="s">
        <v>10</v>
      </c>
      <c r="B16" s="102" t="s">
        <v>194</v>
      </c>
      <c r="C16" s="102">
        <v>387</v>
      </c>
      <c r="D16" s="102">
        <v>407</v>
      </c>
      <c r="E16" s="250">
        <v>410</v>
      </c>
      <c r="F16" s="250">
        <v>427</v>
      </c>
      <c r="H16" s="102">
        <v>388</v>
      </c>
      <c r="J16" s="102">
        <v>370</v>
      </c>
      <c r="M16" s="168">
        <f t="shared" si="0"/>
        <v>2389</v>
      </c>
      <c r="N16" s="102">
        <v>2</v>
      </c>
      <c r="O16" s="102">
        <v>6</v>
      </c>
      <c r="P16" s="102">
        <v>-107</v>
      </c>
      <c r="Q16" s="102">
        <v>0</v>
      </c>
      <c r="T16" s="102">
        <v>1</v>
      </c>
    </row>
    <row r="17" spans="1:18" s="47" customFormat="1" ht="15.75">
      <c r="A17" s="47" t="s">
        <v>11</v>
      </c>
      <c r="B17" s="39" t="s">
        <v>238</v>
      </c>
      <c r="C17" s="35">
        <v>370</v>
      </c>
      <c r="D17" s="202">
        <v>419</v>
      </c>
      <c r="E17" s="35">
        <v>384</v>
      </c>
      <c r="F17" s="202">
        <v>443</v>
      </c>
      <c r="G17" s="35"/>
      <c r="H17" s="202">
        <v>413</v>
      </c>
      <c r="I17" s="35"/>
      <c r="J17" s="35">
        <v>392</v>
      </c>
      <c r="K17" s="35"/>
      <c r="L17" s="33"/>
      <c r="M17" s="245">
        <f t="shared" si="0"/>
        <v>2421</v>
      </c>
      <c r="N17" s="47">
        <v>5</v>
      </c>
      <c r="O17" s="47">
        <v>3</v>
      </c>
      <c r="P17" s="245">
        <v>63</v>
      </c>
      <c r="Q17" s="47">
        <v>2</v>
      </c>
      <c r="R17" s="47">
        <v>1</v>
      </c>
    </row>
    <row r="18" spans="1:20" s="102" customFormat="1" ht="15.75">
      <c r="A18" s="102" t="s">
        <v>12</v>
      </c>
      <c r="B18" s="102" t="s">
        <v>15</v>
      </c>
      <c r="C18" s="34">
        <v>362</v>
      </c>
      <c r="D18" s="250">
        <v>413</v>
      </c>
      <c r="E18" s="34">
        <v>402</v>
      </c>
      <c r="F18" s="250">
        <v>413</v>
      </c>
      <c r="G18" s="34"/>
      <c r="H18" s="34">
        <v>410</v>
      </c>
      <c r="I18" s="34"/>
      <c r="J18" s="34">
        <v>356</v>
      </c>
      <c r="K18" s="34"/>
      <c r="L18" s="30"/>
      <c r="M18" s="168">
        <f t="shared" si="0"/>
        <v>2356</v>
      </c>
      <c r="N18" s="102">
        <v>2</v>
      </c>
      <c r="O18" s="102">
        <v>6</v>
      </c>
      <c r="P18" s="168">
        <v>-127</v>
      </c>
      <c r="Q18" s="102">
        <v>0</v>
      </c>
      <c r="T18" s="102">
        <v>1</v>
      </c>
    </row>
    <row r="19" spans="1:20" s="47" customFormat="1" ht="15.75">
      <c r="A19" s="47" t="s">
        <v>13</v>
      </c>
      <c r="B19" s="35" t="s">
        <v>21</v>
      </c>
      <c r="C19" s="35">
        <v>367</v>
      </c>
      <c r="D19" s="35">
        <v>379</v>
      </c>
      <c r="E19" s="202">
        <v>414</v>
      </c>
      <c r="F19" s="35"/>
      <c r="G19" s="35"/>
      <c r="H19" s="35">
        <v>383</v>
      </c>
      <c r="I19" s="35"/>
      <c r="J19" s="202">
        <v>410</v>
      </c>
      <c r="K19" s="202">
        <v>428</v>
      </c>
      <c r="L19" s="33"/>
      <c r="M19" s="245">
        <f>SUM(C19:K19)</f>
        <v>2381</v>
      </c>
      <c r="N19" s="47">
        <v>3</v>
      </c>
      <c r="O19" s="47">
        <v>5</v>
      </c>
      <c r="P19" s="245">
        <v>-69</v>
      </c>
      <c r="Q19" s="47">
        <v>0</v>
      </c>
      <c r="T19" s="47">
        <v>1</v>
      </c>
    </row>
    <row r="20" spans="1:20" s="102" customFormat="1" ht="15.75">
      <c r="A20" s="102" t="s">
        <v>14</v>
      </c>
      <c r="B20" s="34" t="s">
        <v>20</v>
      </c>
      <c r="C20" s="34">
        <v>369</v>
      </c>
      <c r="D20" s="34"/>
      <c r="E20" s="250">
        <v>428</v>
      </c>
      <c r="F20" s="250">
        <v>411</v>
      </c>
      <c r="G20" s="34"/>
      <c r="H20" s="34">
        <v>379</v>
      </c>
      <c r="I20" s="34"/>
      <c r="J20" s="34">
        <v>373</v>
      </c>
      <c r="K20" s="250">
        <v>441</v>
      </c>
      <c r="L20" s="34"/>
      <c r="M20" s="168">
        <f>SUM(C20:K20)</f>
        <v>2401</v>
      </c>
      <c r="N20" s="102">
        <v>3</v>
      </c>
      <c r="O20" s="102">
        <v>5</v>
      </c>
      <c r="P20" s="168">
        <v>-69</v>
      </c>
      <c r="Q20" s="102">
        <v>0</v>
      </c>
      <c r="T20" s="102">
        <v>1</v>
      </c>
    </row>
    <row r="21" spans="1:20" s="47" customFormat="1" ht="15.75">
      <c r="A21" s="47" t="s">
        <v>239</v>
      </c>
      <c r="B21" s="47" t="s">
        <v>22</v>
      </c>
      <c r="C21" s="35">
        <v>363</v>
      </c>
      <c r="D21" s="35">
        <v>400</v>
      </c>
      <c r="E21" s="35">
        <v>404</v>
      </c>
      <c r="F21" s="35">
        <v>387</v>
      </c>
      <c r="G21" s="35"/>
      <c r="H21" s="35">
        <v>389</v>
      </c>
      <c r="I21" s="35"/>
      <c r="J21" s="35">
        <v>397</v>
      </c>
      <c r="K21" s="35"/>
      <c r="L21" s="33"/>
      <c r="M21" s="245">
        <f>SUM(C21:L21)</f>
        <v>2340</v>
      </c>
      <c r="N21" s="47">
        <v>0</v>
      </c>
      <c r="O21" s="47">
        <v>8</v>
      </c>
      <c r="P21" s="245">
        <v>-184</v>
      </c>
      <c r="Q21" s="47">
        <v>0</v>
      </c>
      <c r="T21" s="47">
        <v>1</v>
      </c>
    </row>
    <row r="22" spans="1:20" s="102" customFormat="1" ht="16.5" thickBot="1">
      <c r="A22" s="102" t="s">
        <v>240</v>
      </c>
      <c r="B22" s="34" t="s">
        <v>195</v>
      </c>
      <c r="C22" s="150"/>
      <c r="D22" s="150">
        <v>423</v>
      </c>
      <c r="E22" s="354">
        <v>432</v>
      </c>
      <c r="F22" s="150">
        <v>405</v>
      </c>
      <c r="G22" s="150"/>
      <c r="H22" s="354">
        <v>429</v>
      </c>
      <c r="I22" s="150"/>
      <c r="J22" s="354">
        <v>441</v>
      </c>
      <c r="K22" s="354">
        <v>435</v>
      </c>
      <c r="L22" s="169"/>
      <c r="M22" s="170">
        <f>SUM(C22:L22)</f>
        <v>2565</v>
      </c>
      <c r="N22" s="171">
        <v>6</v>
      </c>
      <c r="O22" s="171">
        <v>2</v>
      </c>
      <c r="P22" s="170">
        <v>61</v>
      </c>
      <c r="Q22" s="171">
        <v>2</v>
      </c>
      <c r="R22" s="171">
        <v>1</v>
      </c>
      <c r="S22" s="171"/>
      <c r="T22" s="171"/>
    </row>
    <row r="23" spans="3:20" ht="16.5" thickTop="1">
      <c r="C23" s="6">
        <f aca="true" t="shared" si="1" ref="C23:J23">SUM(C6:C22)</f>
        <v>4456</v>
      </c>
      <c r="D23" s="6">
        <f t="shared" si="1"/>
        <v>5719</v>
      </c>
      <c r="E23" s="6">
        <f t="shared" si="1"/>
        <v>6449</v>
      </c>
      <c r="F23" s="6">
        <f t="shared" si="1"/>
        <v>6154</v>
      </c>
      <c r="G23" s="6">
        <f t="shared" si="1"/>
        <v>0</v>
      </c>
      <c r="H23" s="6">
        <f t="shared" si="1"/>
        <v>6425</v>
      </c>
      <c r="I23" s="6">
        <f t="shared" si="1"/>
        <v>0</v>
      </c>
      <c r="J23" s="6">
        <f t="shared" si="1"/>
        <v>6197</v>
      </c>
      <c r="K23" s="6">
        <f>SUM(K8:K22)+K6</f>
        <v>3113</v>
      </c>
      <c r="L23" s="6">
        <f>SUM(L6:L22)</f>
        <v>0</v>
      </c>
      <c r="R23" s="2">
        <f>SUM(R6:R22)</f>
        <v>2</v>
      </c>
      <c r="S23" s="2">
        <f>SUM(S6:S22)</f>
        <v>0</v>
      </c>
      <c r="T23" s="2">
        <f>SUM(T6:T22)</f>
        <v>14</v>
      </c>
    </row>
    <row r="24" spans="2:12" ht="15.75">
      <c r="B24" s="1" t="s">
        <v>211</v>
      </c>
      <c r="C24" s="6">
        <f aca="true" t="shared" si="2" ref="C24:J24">COUNT(C6:C22)</f>
        <v>12</v>
      </c>
      <c r="D24" s="6">
        <f t="shared" si="2"/>
        <v>14</v>
      </c>
      <c r="E24" s="6">
        <f t="shared" si="2"/>
        <v>16</v>
      </c>
      <c r="F24" s="6">
        <f t="shared" si="2"/>
        <v>15</v>
      </c>
      <c r="G24" s="6">
        <f t="shared" si="2"/>
        <v>0</v>
      </c>
      <c r="H24" s="6">
        <f t="shared" si="2"/>
        <v>16</v>
      </c>
      <c r="I24" s="6">
        <f t="shared" si="2"/>
        <v>0</v>
      </c>
      <c r="J24" s="6">
        <f t="shared" si="2"/>
        <v>16</v>
      </c>
      <c r="K24" s="6">
        <f>COUNT(K8:K22)+COUNT(K6)</f>
        <v>7</v>
      </c>
      <c r="L24" s="6">
        <f>COUNT(L8:L22)+COUNT(L6)</f>
        <v>0</v>
      </c>
    </row>
    <row r="25" spans="2:20" ht="31.5">
      <c r="B25" s="11" t="s">
        <v>119</v>
      </c>
      <c r="C25" s="16">
        <f>AVERAGE(C6:C22)</f>
        <v>371.3333333333333</v>
      </c>
      <c r="D25" s="16">
        <f>AVERAGE(D6:D22)</f>
        <v>408.5</v>
      </c>
      <c r="E25" s="16">
        <f>AVERAGE(E6:E22)</f>
        <v>403.0625</v>
      </c>
      <c r="F25" s="16">
        <f>AVERAGE(F6:F22)</f>
        <v>410.26666666666665</v>
      </c>
      <c r="G25" s="16"/>
      <c r="H25" s="16">
        <f>H23/H24</f>
        <v>401.5625</v>
      </c>
      <c r="I25" s="16"/>
      <c r="J25" s="16">
        <f>AVERAGE(J6:J22)</f>
        <v>387.3125</v>
      </c>
      <c r="K25" s="16">
        <f>AVERAGE(K6:K22)</f>
        <v>444.7142857142857</v>
      </c>
      <c r="L25" s="16"/>
      <c r="M25" s="3" t="s">
        <v>29</v>
      </c>
      <c r="N25" s="461" t="s">
        <v>109</v>
      </c>
      <c r="O25" s="461"/>
      <c r="P25" s="3" t="s">
        <v>30</v>
      </c>
      <c r="Q25" s="10" t="s">
        <v>110</v>
      </c>
      <c r="S25" s="63" t="s">
        <v>118</v>
      </c>
      <c r="T25" s="63" t="s">
        <v>209</v>
      </c>
    </row>
    <row r="26" spans="13:20" ht="15.75">
      <c r="M26" s="6">
        <f>SUM(M6:M22)</f>
        <v>38513</v>
      </c>
      <c r="N26" s="1">
        <f>SUM(N6:N22)</f>
        <v>36</v>
      </c>
      <c r="O26" s="1">
        <f>SUM(O6:O22)</f>
        <v>92</v>
      </c>
      <c r="P26" s="1">
        <f>SUM(P6:P22)</f>
        <v>-1593</v>
      </c>
      <c r="Q26" s="1">
        <f>SUM(Q6:Q22)</f>
        <v>4</v>
      </c>
      <c r="S26" s="2">
        <f>N26-O26</f>
        <v>-56</v>
      </c>
      <c r="T26" s="2">
        <f>SUM(R23:T23)</f>
        <v>16</v>
      </c>
    </row>
    <row r="28" spans="3:11" ht="15.75">
      <c r="C28" s="463" t="s">
        <v>37</v>
      </c>
      <c r="D28" s="463"/>
      <c r="F28" s="458" t="s">
        <v>124</v>
      </c>
      <c r="G28" s="458"/>
      <c r="H28" s="458"/>
      <c r="J28" s="462" t="s">
        <v>125</v>
      </c>
      <c r="K28" s="462"/>
    </row>
    <row r="29" spans="1:20" ht="16.5" thickBo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123"/>
      <c r="S29" s="123"/>
      <c r="T29" s="123"/>
    </row>
    <row r="30" spans="6:7" ht="15.75">
      <c r="F30" s="40"/>
      <c r="G30" s="40"/>
    </row>
    <row r="31" spans="2:20" ht="34.5" customHeight="1" thickBot="1">
      <c r="B31" s="3" t="s">
        <v>24</v>
      </c>
      <c r="C31" s="8" t="s">
        <v>158</v>
      </c>
      <c r="D31" s="8" t="s">
        <v>65</v>
      </c>
      <c r="E31" s="8" t="s">
        <v>159</v>
      </c>
      <c r="F31" s="8" t="s">
        <v>160</v>
      </c>
      <c r="G31" s="8" t="s">
        <v>270</v>
      </c>
      <c r="H31" s="8" t="s">
        <v>92</v>
      </c>
      <c r="I31" s="8" t="s">
        <v>142</v>
      </c>
      <c r="J31" s="8" t="s">
        <v>283</v>
      </c>
      <c r="K31" s="8" t="s">
        <v>126</v>
      </c>
      <c r="L31" s="140" t="s">
        <v>265</v>
      </c>
      <c r="M31" s="11" t="s">
        <v>29</v>
      </c>
      <c r="N31" s="11" t="s">
        <v>193</v>
      </c>
      <c r="O31" s="11" t="s">
        <v>28</v>
      </c>
      <c r="P31" s="11" t="s">
        <v>30</v>
      </c>
      <c r="Q31" s="10" t="s">
        <v>108</v>
      </c>
      <c r="R31" s="2" t="s">
        <v>174</v>
      </c>
      <c r="S31" s="2" t="s">
        <v>175</v>
      </c>
      <c r="T31" s="2" t="s">
        <v>176</v>
      </c>
    </row>
    <row r="32" spans="1:17" s="223" customFormat="1" ht="15.75">
      <c r="A32" s="145" t="s">
        <v>145</v>
      </c>
      <c r="B32" s="149" t="s">
        <v>234</v>
      </c>
      <c r="C32" s="402"/>
      <c r="D32" s="400"/>
      <c r="E32" s="400"/>
      <c r="F32" s="400"/>
      <c r="G32" s="400"/>
      <c r="H32" s="400"/>
      <c r="I32" s="400"/>
      <c r="J32" s="400"/>
      <c r="K32" s="400"/>
      <c r="L32" s="401"/>
      <c r="M32" s="377" t="s">
        <v>234</v>
      </c>
      <c r="N32" s="378"/>
      <c r="O32" s="378"/>
      <c r="P32" s="378"/>
      <c r="Q32" s="378"/>
    </row>
    <row r="33" spans="1:20" s="23" customFormat="1" ht="15.75">
      <c r="A33" s="204" t="s">
        <v>146</v>
      </c>
      <c r="B33" s="205" t="s">
        <v>242</v>
      </c>
      <c r="C33" s="102">
        <v>326</v>
      </c>
      <c r="D33" s="34">
        <v>397</v>
      </c>
      <c r="E33" s="34">
        <v>379</v>
      </c>
      <c r="F33" s="34"/>
      <c r="G33" s="34"/>
      <c r="H33" s="250">
        <v>425</v>
      </c>
      <c r="I33" s="34"/>
      <c r="J33" s="34">
        <v>399</v>
      </c>
      <c r="K33" s="250">
        <v>430</v>
      </c>
      <c r="L33" s="34"/>
      <c r="M33" s="58">
        <f aca="true" t="shared" si="3" ref="M33:M48">SUM(C33:L33)</f>
        <v>2356</v>
      </c>
      <c r="N33" s="19">
        <v>2</v>
      </c>
      <c r="O33" s="19">
        <v>6</v>
      </c>
      <c r="P33" s="19">
        <v>-67</v>
      </c>
      <c r="Q33" s="19">
        <v>0</v>
      </c>
      <c r="T33" s="23">
        <v>1</v>
      </c>
    </row>
    <row r="34" spans="1:20" s="231" customFormat="1" ht="15.75">
      <c r="A34" s="25" t="s">
        <v>147</v>
      </c>
      <c r="B34" s="47" t="s">
        <v>194</v>
      </c>
      <c r="C34" s="47"/>
      <c r="D34" s="202">
        <v>460</v>
      </c>
      <c r="E34" s="35">
        <v>379</v>
      </c>
      <c r="F34" s="35">
        <v>399</v>
      </c>
      <c r="G34" s="35"/>
      <c r="H34" s="35">
        <v>443</v>
      </c>
      <c r="I34" s="35"/>
      <c r="J34" s="35">
        <v>378</v>
      </c>
      <c r="K34" s="202">
        <v>473</v>
      </c>
      <c r="L34" s="35"/>
      <c r="M34" s="200">
        <f t="shared" si="3"/>
        <v>2532</v>
      </c>
      <c r="N34" s="193">
        <v>2</v>
      </c>
      <c r="O34" s="193">
        <v>6</v>
      </c>
      <c r="P34" s="193">
        <v>-96</v>
      </c>
      <c r="Q34" s="193">
        <v>0</v>
      </c>
      <c r="T34" s="231">
        <v>1</v>
      </c>
    </row>
    <row r="35" spans="1:20" s="211" customFormat="1" ht="15.75">
      <c r="A35" s="19" t="s">
        <v>148</v>
      </c>
      <c r="B35" s="36" t="s">
        <v>238</v>
      </c>
      <c r="C35" s="102"/>
      <c r="D35" s="34">
        <v>402</v>
      </c>
      <c r="E35" s="34">
        <v>380</v>
      </c>
      <c r="F35" s="250">
        <v>406</v>
      </c>
      <c r="G35" s="34"/>
      <c r="H35" s="34">
        <v>394</v>
      </c>
      <c r="I35" s="34"/>
      <c r="J35" s="250">
        <v>406</v>
      </c>
      <c r="K35" s="250">
        <v>431</v>
      </c>
      <c r="L35" s="34"/>
      <c r="M35" s="366">
        <f t="shared" si="3"/>
        <v>2419</v>
      </c>
      <c r="N35" s="204">
        <v>3</v>
      </c>
      <c r="O35" s="204">
        <v>5</v>
      </c>
      <c r="P35" s="204">
        <v>-11</v>
      </c>
      <c r="Q35" s="204">
        <v>0</v>
      </c>
      <c r="T35" s="211">
        <v>1</v>
      </c>
    </row>
    <row r="36" spans="1:20" s="231" customFormat="1" ht="15.75">
      <c r="A36" s="25" t="s">
        <v>149</v>
      </c>
      <c r="B36" s="47" t="s">
        <v>15</v>
      </c>
      <c r="C36" s="47">
        <v>349</v>
      </c>
      <c r="D36" s="35">
        <v>392</v>
      </c>
      <c r="E36" s="35">
        <v>411</v>
      </c>
      <c r="F36" s="35">
        <v>391</v>
      </c>
      <c r="G36" s="35"/>
      <c r="H36" s="202">
        <v>438</v>
      </c>
      <c r="I36" s="35"/>
      <c r="J36" s="35">
        <v>386</v>
      </c>
      <c r="K36" s="35"/>
      <c r="L36" s="35"/>
      <c r="M36" s="200">
        <f t="shared" si="3"/>
        <v>2367</v>
      </c>
      <c r="N36" s="193">
        <v>1</v>
      </c>
      <c r="O36" s="193">
        <v>7</v>
      </c>
      <c r="P36" s="193">
        <f>M36-2582</f>
        <v>-215</v>
      </c>
      <c r="Q36" s="193">
        <v>0</v>
      </c>
      <c r="T36" s="231">
        <v>1</v>
      </c>
    </row>
    <row r="37" spans="1:19" s="23" customFormat="1" ht="15.75">
      <c r="A37" s="204" t="s">
        <v>150</v>
      </c>
      <c r="B37" s="205" t="s">
        <v>21</v>
      </c>
      <c r="C37" s="102"/>
      <c r="D37" s="34">
        <v>397</v>
      </c>
      <c r="E37" s="34">
        <v>379</v>
      </c>
      <c r="F37" s="250">
        <v>437</v>
      </c>
      <c r="G37" s="34"/>
      <c r="H37" s="34">
        <v>389</v>
      </c>
      <c r="I37" s="34"/>
      <c r="J37" s="34">
        <v>400</v>
      </c>
      <c r="K37" s="250">
        <v>445</v>
      </c>
      <c r="L37" s="34"/>
      <c r="M37" s="58">
        <f t="shared" si="3"/>
        <v>2447</v>
      </c>
      <c r="N37" s="19">
        <v>4</v>
      </c>
      <c r="O37" s="19">
        <v>4</v>
      </c>
      <c r="P37" s="19">
        <v>13</v>
      </c>
      <c r="Q37" s="19">
        <v>1</v>
      </c>
      <c r="S37" s="23">
        <v>1</v>
      </c>
    </row>
    <row r="38" spans="1:18" s="231" customFormat="1" ht="15.75">
      <c r="A38" s="25" t="s">
        <v>151</v>
      </c>
      <c r="B38" s="35" t="s">
        <v>20</v>
      </c>
      <c r="C38" s="47"/>
      <c r="D38" s="202">
        <v>421</v>
      </c>
      <c r="E38" s="35"/>
      <c r="F38" s="202">
        <v>442</v>
      </c>
      <c r="G38" s="35"/>
      <c r="H38" s="35">
        <v>417</v>
      </c>
      <c r="I38" s="35">
        <v>407</v>
      </c>
      <c r="J38" s="35">
        <v>418</v>
      </c>
      <c r="K38" s="202">
        <v>422</v>
      </c>
      <c r="L38" s="35"/>
      <c r="M38" s="200">
        <f t="shared" si="3"/>
        <v>2527</v>
      </c>
      <c r="N38" s="193">
        <v>5</v>
      </c>
      <c r="O38" s="193">
        <v>3</v>
      </c>
      <c r="P38" s="193">
        <v>38</v>
      </c>
      <c r="Q38" s="193">
        <v>2</v>
      </c>
      <c r="R38" s="231">
        <v>1</v>
      </c>
    </row>
    <row r="39" spans="1:20" s="106" customFormat="1" ht="15.75">
      <c r="A39" s="19" t="s">
        <v>152</v>
      </c>
      <c r="B39" s="102" t="s">
        <v>22</v>
      </c>
      <c r="C39" s="102"/>
      <c r="D39" s="34">
        <v>421</v>
      </c>
      <c r="E39" s="34">
        <v>370</v>
      </c>
      <c r="F39" s="250">
        <v>432</v>
      </c>
      <c r="G39" s="34"/>
      <c r="H39" s="34">
        <v>410</v>
      </c>
      <c r="I39" s="34"/>
      <c r="J39" s="250">
        <v>438</v>
      </c>
      <c r="K39" s="34">
        <v>426</v>
      </c>
      <c r="L39" s="34"/>
      <c r="M39" s="105">
        <f t="shared" si="3"/>
        <v>2497</v>
      </c>
      <c r="N39" s="103">
        <v>2</v>
      </c>
      <c r="O39" s="103">
        <v>6</v>
      </c>
      <c r="P39" s="103">
        <v>-78</v>
      </c>
      <c r="Q39" s="103">
        <v>0</v>
      </c>
      <c r="T39" s="106">
        <v>1</v>
      </c>
    </row>
    <row r="40" spans="1:20" s="231" customFormat="1" ht="15.75">
      <c r="A40" s="25" t="s">
        <v>153</v>
      </c>
      <c r="B40" s="35" t="s">
        <v>195</v>
      </c>
      <c r="C40" s="47"/>
      <c r="D40" s="202">
        <v>426</v>
      </c>
      <c r="E40" s="35"/>
      <c r="F40" s="35">
        <v>423</v>
      </c>
      <c r="G40" s="35"/>
      <c r="H40" s="35">
        <v>395</v>
      </c>
      <c r="I40" s="35">
        <v>398</v>
      </c>
      <c r="J40" s="35">
        <v>399</v>
      </c>
      <c r="K40" s="434">
        <v>426</v>
      </c>
      <c r="L40" s="35"/>
      <c r="M40" s="200">
        <f t="shared" si="3"/>
        <v>2467</v>
      </c>
      <c r="N40" s="193">
        <v>2</v>
      </c>
      <c r="O40" s="193">
        <v>6</v>
      </c>
      <c r="P40" s="193">
        <v>-64</v>
      </c>
      <c r="Q40" s="193">
        <v>0</v>
      </c>
      <c r="T40" s="231">
        <v>1</v>
      </c>
    </row>
    <row r="41" spans="1:20" s="211" customFormat="1" ht="15.75">
      <c r="A41" s="83" t="s">
        <v>154</v>
      </c>
      <c r="B41" s="95" t="s">
        <v>196</v>
      </c>
      <c r="C41" s="102"/>
      <c r="D41" s="34">
        <v>408</v>
      </c>
      <c r="E41" s="34">
        <v>380</v>
      </c>
      <c r="F41" s="250">
        <v>410</v>
      </c>
      <c r="G41" s="34"/>
      <c r="H41" s="250">
        <v>408</v>
      </c>
      <c r="I41" s="34"/>
      <c r="J41" s="34">
        <v>380</v>
      </c>
      <c r="K41" s="250">
        <v>421</v>
      </c>
      <c r="L41" s="34"/>
      <c r="M41" s="366">
        <f t="shared" si="3"/>
        <v>2407</v>
      </c>
      <c r="N41" s="204">
        <v>3</v>
      </c>
      <c r="O41" s="204">
        <v>5</v>
      </c>
      <c r="P41" s="204">
        <v>-110</v>
      </c>
      <c r="Q41" s="204">
        <v>0</v>
      </c>
      <c r="T41" s="211">
        <v>1</v>
      </c>
    </row>
    <row r="42" spans="1:20" s="231" customFormat="1" ht="15.75">
      <c r="A42" s="25" t="s">
        <v>155</v>
      </c>
      <c r="B42" s="35" t="s">
        <v>192</v>
      </c>
      <c r="C42" s="47"/>
      <c r="D42" s="35">
        <v>383</v>
      </c>
      <c r="E42" s="35">
        <v>364</v>
      </c>
      <c r="F42" s="35"/>
      <c r="G42" s="35"/>
      <c r="H42" s="35">
        <v>374</v>
      </c>
      <c r="I42" s="202">
        <v>428</v>
      </c>
      <c r="J42" s="35">
        <v>419</v>
      </c>
      <c r="K42" s="202">
        <v>420</v>
      </c>
      <c r="L42" s="35"/>
      <c r="M42" s="200">
        <f t="shared" si="3"/>
        <v>2388</v>
      </c>
      <c r="N42" s="193">
        <v>2</v>
      </c>
      <c r="O42" s="193">
        <v>6</v>
      </c>
      <c r="P42" s="193">
        <v>-129</v>
      </c>
      <c r="Q42" s="193">
        <v>0</v>
      </c>
      <c r="T42" s="231">
        <v>1</v>
      </c>
    </row>
    <row r="43" spans="1:18" s="23" customFormat="1" ht="15.75">
      <c r="A43" s="204" t="s">
        <v>156</v>
      </c>
      <c r="B43" s="205" t="s">
        <v>272</v>
      </c>
      <c r="C43" s="102"/>
      <c r="D43" s="250">
        <v>424</v>
      </c>
      <c r="E43" s="34">
        <v>404</v>
      </c>
      <c r="F43" s="250">
        <v>405</v>
      </c>
      <c r="G43" s="34"/>
      <c r="H43" s="34">
        <v>395</v>
      </c>
      <c r="I43" s="34"/>
      <c r="J43" s="34">
        <v>389</v>
      </c>
      <c r="K43" s="250">
        <v>440</v>
      </c>
      <c r="L43" s="34"/>
      <c r="M43" s="58">
        <f t="shared" si="3"/>
        <v>2457</v>
      </c>
      <c r="N43" s="19">
        <v>5</v>
      </c>
      <c r="O43" s="19">
        <v>3</v>
      </c>
      <c r="P43" s="19">
        <v>4</v>
      </c>
      <c r="Q43" s="19">
        <v>2</v>
      </c>
      <c r="R43" s="23">
        <v>1</v>
      </c>
    </row>
    <row r="44" spans="1:20" s="231" customFormat="1" ht="15.75">
      <c r="A44" s="25" t="s">
        <v>157</v>
      </c>
      <c r="B44" s="35" t="s">
        <v>19</v>
      </c>
      <c r="C44" s="47"/>
      <c r="D44" s="35">
        <v>387</v>
      </c>
      <c r="E44" s="35">
        <v>379</v>
      </c>
      <c r="F44" s="202">
        <v>432</v>
      </c>
      <c r="G44" s="35"/>
      <c r="H44" s="35">
        <v>403</v>
      </c>
      <c r="I44" s="35"/>
      <c r="J44" s="35">
        <v>392</v>
      </c>
      <c r="K44" s="202">
        <v>462</v>
      </c>
      <c r="L44" s="35"/>
      <c r="M44" s="200">
        <f t="shared" si="3"/>
        <v>2455</v>
      </c>
      <c r="N44" s="193">
        <v>2</v>
      </c>
      <c r="O44" s="193">
        <v>6</v>
      </c>
      <c r="P44" s="193">
        <v>-98</v>
      </c>
      <c r="Q44" s="193">
        <v>0</v>
      </c>
      <c r="T44" s="231">
        <v>1</v>
      </c>
    </row>
    <row r="45" spans="1:20" s="106" customFormat="1" ht="15.75">
      <c r="A45" s="19" t="s">
        <v>243</v>
      </c>
      <c r="B45" s="102" t="s">
        <v>18</v>
      </c>
      <c r="C45" s="102"/>
      <c r="D45" s="34">
        <v>396</v>
      </c>
      <c r="E45" s="34">
        <v>372</v>
      </c>
      <c r="F45" s="34"/>
      <c r="G45" s="34"/>
      <c r="H45" s="250">
        <v>436</v>
      </c>
      <c r="I45" s="34">
        <v>403</v>
      </c>
      <c r="J45" s="34">
        <v>375</v>
      </c>
      <c r="K45" s="250">
        <v>449</v>
      </c>
      <c r="L45" s="34"/>
      <c r="M45" s="105">
        <f t="shared" si="3"/>
        <v>2431</v>
      </c>
      <c r="N45" s="103">
        <v>2</v>
      </c>
      <c r="O45" s="103">
        <v>6</v>
      </c>
      <c r="P45" s="103">
        <v>-236</v>
      </c>
      <c r="Q45" s="103">
        <v>0</v>
      </c>
      <c r="T45" s="106">
        <v>1</v>
      </c>
    </row>
    <row r="46" spans="1:20" s="231" customFormat="1" ht="15.75">
      <c r="A46" s="25" t="s">
        <v>244</v>
      </c>
      <c r="B46" s="47" t="s">
        <v>17</v>
      </c>
      <c r="C46" s="35"/>
      <c r="D46" s="35">
        <v>390</v>
      </c>
      <c r="E46" s="35"/>
      <c r="F46" s="35">
        <v>387</v>
      </c>
      <c r="G46" s="35"/>
      <c r="H46" s="35">
        <v>416</v>
      </c>
      <c r="I46" s="434">
        <v>440</v>
      </c>
      <c r="J46" s="35">
        <v>383</v>
      </c>
      <c r="K46" s="434">
        <v>449</v>
      </c>
      <c r="L46" s="35"/>
      <c r="M46" s="200">
        <f t="shared" si="3"/>
        <v>2465</v>
      </c>
      <c r="N46" s="193">
        <v>2</v>
      </c>
      <c r="O46" s="193">
        <v>6</v>
      </c>
      <c r="P46" s="193">
        <v>-130</v>
      </c>
      <c r="Q46" s="193">
        <v>0</v>
      </c>
      <c r="T46" s="231">
        <v>1</v>
      </c>
    </row>
    <row r="47" spans="1:20" s="211" customFormat="1" ht="15.75">
      <c r="A47" s="83" t="s">
        <v>266</v>
      </c>
      <c r="B47" s="96" t="s">
        <v>25</v>
      </c>
      <c r="C47" s="102"/>
      <c r="D47" s="435">
        <v>431</v>
      </c>
      <c r="E47" s="34">
        <v>427</v>
      </c>
      <c r="F47" s="34"/>
      <c r="G47" s="34"/>
      <c r="H47" s="34">
        <v>423</v>
      </c>
      <c r="I47" s="34">
        <v>409</v>
      </c>
      <c r="J47" s="34">
        <v>392</v>
      </c>
      <c r="K47" s="435">
        <v>442</v>
      </c>
      <c r="L47" s="34"/>
      <c r="M47" s="366">
        <f t="shared" si="3"/>
        <v>2524</v>
      </c>
      <c r="N47" s="204">
        <v>2</v>
      </c>
      <c r="O47" s="204">
        <v>6</v>
      </c>
      <c r="P47" s="204">
        <f>M47-2611</f>
        <v>-87</v>
      </c>
      <c r="Q47" s="204">
        <v>0</v>
      </c>
      <c r="T47" s="211">
        <v>1</v>
      </c>
    </row>
    <row r="48" spans="1:22" s="106" customFormat="1" ht="16.5" thickBot="1">
      <c r="A48" s="19" t="s">
        <v>267</v>
      </c>
      <c r="B48" s="102" t="s">
        <v>241</v>
      </c>
      <c r="C48" s="102"/>
      <c r="D48" s="150">
        <v>415</v>
      </c>
      <c r="E48" s="150">
        <v>401</v>
      </c>
      <c r="F48" s="150"/>
      <c r="G48" s="150"/>
      <c r="H48" s="150">
        <v>403</v>
      </c>
      <c r="I48" s="150">
        <v>406</v>
      </c>
      <c r="J48" s="150">
        <v>419</v>
      </c>
      <c r="K48" s="442">
        <v>481</v>
      </c>
      <c r="L48" s="150"/>
      <c r="M48" s="366">
        <f t="shared" si="3"/>
        <v>2525</v>
      </c>
      <c r="N48" s="394">
        <v>1</v>
      </c>
      <c r="O48" s="394">
        <v>7</v>
      </c>
      <c r="P48" s="394">
        <f>M48-2709</f>
        <v>-184</v>
      </c>
      <c r="Q48" s="394">
        <v>0</v>
      </c>
      <c r="R48" s="395"/>
      <c r="S48" s="395"/>
      <c r="T48" s="395">
        <v>1</v>
      </c>
      <c r="U48" s="142"/>
      <c r="V48" s="142"/>
    </row>
    <row r="49" spans="3:20" ht="16.5" thickTop="1">
      <c r="C49" s="7">
        <f aca="true" t="shared" si="4" ref="C49:L49">SUM(C32:C48)</f>
        <v>675</v>
      </c>
      <c r="D49" s="7">
        <f t="shared" si="4"/>
        <v>6550</v>
      </c>
      <c r="E49" s="7">
        <f t="shared" si="4"/>
        <v>5025</v>
      </c>
      <c r="F49" s="7">
        <f t="shared" si="4"/>
        <v>4564</v>
      </c>
      <c r="G49" s="7">
        <f>SUM(G32:G48)</f>
        <v>0</v>
      </c>
      <c r="H49" s="7">
        <f t="shared" si="4"/>
        <v>6569</v>
      </c>
      <c r="I49" s="7">
        <f t="shared" si="4"/>
        <v>2891</v>
      </c>
      <c r="J49" s="7">
        <f t="shared" si="4"/>
        <v>6373</v>
      </c>
      <c r="K49" s="7">
        <f t="shared" si="4"/>
        <v>6617</v>
      </c>
      <c r="L49" s="7">
        <f t="shared" si="4"/>
        <v>0</v>
      </c>
      <c r="N49" s="1">
        <f>SUM(N32:N48)</f>
        <v>40</v>
      </c>
      <c r="O49" s="1">
        <f>SUM(O32:O48)</f>
        <v>88</v>
      </c>
      <c r="P49" s="1">
        <f>SUM(P32:P48)</f>
        <v>-1450</v>
      </c>
      <c r="Q49" s="1">
        <f>SUM(Q32:Q48)</f>
        <v>5</v>
      </c>
      <c r="R49" s="1">
        <f>SUM(R32:R48)+R23</f>
        <v>4</v>
      </c>
      <c r="S49" s="1">
        <f>SUM(S32:S48)+S23</f>
        <v>1</v>
      </c>
      <c r="T49" s="1">
        <f>SUM(T32:T48)+T23</f>
        <v>27</v>
      </c>
    </row>
    <row r="50" spans="2:12" ht="15.75">
      <c r="B50" s="57" t="s">
        <v>231</v>
      </c>
      <c r="C50" s="1">
        <f aca="true" t="shared" si="5" ref="C50:L50">COUNT(C32:C48)</f>
        <v>2</v>
      </c>
      <c r="D50" s="1">
        <f t="shared" si="5"/>
        <v>16</v>
      </c>
      <c r="E50" s="1">
        <f t="shared" si="5"/>
        <v>13</v>
      </c>
      <c r="F50" s="1">
        <f t="shared" si="5"/>
        <v>11</v>
      </c>
      <c r="G50" s="1">
        <f>COUNT(G32:G48)</f>
        <v>0</v>
      </c>
      <c r="H50" s="1">
        <f t="shared" si="5"/>
        <v>16</v>
      </c>
      <c r="I50" s="1">
        <f t="shared" si="5"/>
        <v>7</v>
      </c>
      <c r="J50" s="1">
        <f t="shared" si="5"/>
        <v>16</v>
      </c>
      <c r="K50" s="1">
        <f t="shared" si="5"/>
        <v>15</v>
      </c>
      <c r="L50" s="1">
        <f t="shared" si="5"/>
        <v>0</v>
      </c>
    </row>
    <row r="51" spans="2:20" ht="31.5">
      <c r="B51" s="11" t="s">
        <v>228</v>
      </c>
      <c r="C51" s="16">
        <f aca="true" t="shared" si="6" ref="C51:K51">C49/C50</f>
        <v>337.5</v>
      </c>
      <c r="D51" s="16">
        <f t="shared" si="6"/>
        <v>409.375</v>
      </c>
      <c r="E51" s="16">
        <f t="shared" si="6"/>
        <v>386.53846153846155</v>
      </c>
      <c r="F51" s="16">
        <f t="shared" si="6"/>
        <v>414.90909090909093</v>
      </c>
      <c r="G51" s="16"/>
      <c r="H51" s="16">
        <f t="shared" si="6"/>
        <v>410.5625</v>
      </c>
      <c r="I51" s="16">
        <f t="shared" si="6"/>
        <v>413</v>
      </c>
      <c r="J51" s="16">
        <f t="shared" si="6"/>
        <v>398.3125</v>
      </c>
      <c r="K51" s="16">
        <f t="shared" si="6"/>
        <v>441.1333333333333</v>
      </c>
      <c r="L51" s="16"/>
      <c r="M51" s="3" t="s">
        <v>29</v>
      </c>
      <c r="N51" s="461" t="s">
        <v>109</v>
      </c>
      <c r="O51" s="461"/>
      <c r="P51" s="3" t="s">
        <v>30</v>
      </c>
      <c r="Q51" s="10" t="s">
        <v>110</v>
      </c>
      <c r="S51" s="63" t="s">
        <v>118</v>
      </c>
      <c r="T51" s="63" t="s">
        <v>209</v>
      </c>
    </row>
    <row r="52" spans="13:20" ht="15.75">
      <c r="M52" s="6">
        <f>SUM(M32:M48)+M26</f>
        <v>77777</v>
      </c>
      <c r="N52" s="6">
        <f>SUM(N32:N48)+N26</f>
        <v>76</v>
      </c>
      <c r="O52" s="6">
        <f>SUM(O32:O48)+O26</f>
        <v>180</v>
      </c>
      <c r="P52" s="6">
        <f>SUM(P32:P48)+P26</f>
        <v>-3043</v>
      </c>
      <c r="Q52" s="6">
        <f>SUM(Q32:Q48)+Q26</f>
        <v>9</v>
      </c>
      <c r="S52" s="46">
        <f>N52-O52</f>
        <v>-104</v>
      </c>
      <c r="T52" s="2">
        <f>SUM(R49:T49)</f>
        <v>32</v>
      </c>
    </row>
    <row r="54" spans="13:14" ht="15.75">
      <c r="M54" s="1" t="s">
        <v>120</v>
      </c>
      <c r="N54" s="18">
        <f>M52/T52</f>
        <v>2430.53125</v>
      </c>
    </row>
  </sheetData>
  <sheetProtection/>
  <mergeCells count="9">
    <mergeCell ref="N51:O51"/>
    <mergeCell ref="E1:F1"/>
    <mergeCell ref="N4:O4"/>
    <mergeCell ref="C28:D28"/>
    <mergeCell ref="N25:O25"/>
    <mergeCell ref="I1:J1"/>
    <mergeCell ref="F28:H28"/>
    <mergeCell ref="J28:K28"/>
    <mergeCell ref="C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T53"/>
  <sheetViews>
    <sheetView zoomScale="90" zoomScaleNormal="90" zoomScalePageLayoutView="0" workbookViewId="0" topLeftCell="B26">
      <selection activeCell="Q47" sqref="Q47"/>
    </sheetView>
  </sheetViews>
  <sheetFormatPr defaultColWidth="9.00390625" defaultRowHeight="12.75"/>
  <cols>
    <col min="1" max="1" width="11.25390625" style="4" bestFit="1" customWidth="1"/>
    <col min="2" max="2" width="21.00390625" style="4" bestFit="1" customWidth="1"/>
    <col min="3" max="3" width="10.625" style="4" customWidth="1"/>
    <col min="4" max="4" width="9.75390625" style="4" customWidth="1"/>
    <col min="5" max="5" width="7.25390625" style="4" customWidth="1"/>
    <col min="6" max="6" width="11.00390625" style="4" customWidth="1"/>
    <col min="7" max="7" width="9.125" style="4" customWidth="1"/>
    <col min="8" max="8" width="9.625" style="4" customWidth="1"/>
    <col min="9" max="9" width="9.75390625" style="4" customWidth="1"/>
    <col min="10" max="11" width="11.125" style="4" customWidth="1"/>
    <col min="12" max="12" width="12.00390625" style="4" customWidth="1"/>
    <col min="13" max="13" width="18.25390625" style="1" bestFit="1" customWidth="1"/>
    <col min="14" max="14" width="16.375" style="1" customWidth="1"/>
    <col min="15" max="15" width="10.375" style="1" customWidth="1"/>
    <col min="16" max="16" width="13.375" style="1" customWidth="1"/>
    <col min="17" max="17" width="11.875" style="1" customWidth="1"/>
    <col min="19" max="19" width="12.00390625" style="0" customWidth="1"/>
    <col min="20" max="20" width="10.75390625" style="0" customWidth="1"/>
  </cols>
  <sheetData>
    <row r="1" spans="1:17" ht="15.75">
      <c r="A1" s="48" t="s">
        <v>133</v>
      </c>
      <c r="B1" s="49"/>
      <c r="C1" s="49" t="s">
        <v>189</v>
      </c>
      <c r="D1" s="49" t="s">
        <v>190</v>
      </c>
      <c r="G1" s="459" t="s">
        <v>191</v>
      </c>
      <c r="H1" s="459"/>
      <c r="I1" s="459"/>
      <c r="J1" s="455" t="s">
        <v>143</v>
      </c>
      <c r="K1" s="455"/>
      <c r="L1" s="455"/>
      <c r="M1" s="11" t="s">
        <v>144</v>
      </c>
      <c r="N1" s="13" t="s">
        <v>118</v>
      </c>
      <c r="P1" s="122" t="s">
        <v>120</v>
      </c>
      <c r="Q1" s="18">
        <f>M26/T26</f>
        <v>2437.625</v>
      </c>
    </row>
    <row r="2" spans="10:17" ht="15.75">
      <c r="J2" s="6">
        <f>N26+N51</f>
        <v>124</v>
      </c>
      <c r="K2" s="6"/>
      <c r="L2" s="6">
        <f>O26+O51</f>
        <v>132</v>
      </c>
      <c r="M2" s="6">
        <f>Q26+Q48</f>
        <v>34</v>
      </c>
      <c r="N2" s="6">
        <f>J2-L2</f>
        <v>-8</v>
      </c>
      <c r="P2" s="122" t="s">
        <v>216</v>
      </c>
      <c r="Q2" s="6">
        <f>M7+M9+M11+M13+M15+M18+M20+M22+M31+M33+M34+M36+M38+M40+M44+M46</f>
        <v>40106</v>
      </c>
    </row>
    <row r="4" spans="3:20" ht="15.75">
      <c r="C4" s="468" t="s">
        <v>26</v>
      </c>
      <c r="D4" s="468"/>
      <c r="E4" s="468"/>
      <c r="F4" s="468"/>
      <c r="G4" s="468"/>
      <c r="H4" s="468"/>
      <c r="I4" s="468"/>
      <c r="J4" s="468"/>
      <c r="K4" s="468"/>
      <c r="L4" s="468"/>
      <c r="N4" s="461" t="s">
        <v>27</v>
      </c>
      <c r="O4" s="461"/>
      <c r="R4" s="2"/>
      <c r="S4" s="2"/>
      <c r="T4" s="2"/>
    </row>
    <row r="5" spans="2:20" ht="45" customHeight="1" thickBot="1">
      <c r="B5" s="5" t="s">
        <v>24</v>
      </c>
      <c r="C5" s="120" t="s">
        <v>199</v>
      </c>
      <c r="D5" s="120" t="s">
        <v>237</v>
      </c>
      <c r="E5" s="120" t="s">
        <v>200</v>
      </c>
      <c r="F5" s="120" t="s">
        <v>271</v>
      </c>
      <c r="G5" s="8" t="s">
        <v>279</v>
      </c>
      <c r="H5" s="120" t="s">
        <v>51</v>
      </c>
      <c r="I5" s="120" t="s">
        <v>203</v>
      </c>
      <c r="J5" s="120" t="s">
        <v>201</v>
      </c>
      <c r="K5" s="120" t="s">
        <v>280</v>
      </c>
      <c r="L5" s="120" t="s">
        <v>202</v>
      </c>
      <c r="M5" s="3" t="s">
        <v>29</v>
      </c>
      <c r="N5" s="3" t="s">
        <v>196</v>
      </c>
      <c r="O5" s="3" t="s">
        <v>28</v>
      </c>
      <c r="P5" s="3" t="s">
        <v>30</v>
      </c>
      <c r="Q5" s="10" t="s">
        <v>108</v>
      </c>
      <c r="R5" s="2" t="s">
        <v>174</v>
      </c>
      <c r="S5" s="2" t="s">
        <v>175</v>
      </c>
      <c r="T5" s="2" t="s">
        <v>176</v>
      </c>
    </row>
    <row r="6" spans="1:20" s="211" customFormat="1" ht="15.75">
      <c r="A6" s="238" t="s">
        <v>0</v>
      </c>
      <c r="B6" s="206" t="s">
        <v>193</v>
      </c>
      <c r="C6" s="247">
        <v>396</v>
      </c>
      <c r="D6" s="205"/>
      <c r="E6" s="205">
        <v>375</v>
      </c>
      <c r="F6" s="205"/>
      <c r="G6" s="205">
        <v>359</v>
      </c>
      <c r="H6" s="247">
        <v>382</v>
      </c>
      <c r="I6" s="247">
        <v>379</v>
      </c>
      <c r="J6" s="247">
        <v>390</v>
      </c>
      <c r="K6" s="207"/>
      <c r="L6" s="207"/>
      <c r="M6" s="239">
        <f>SUM(C6:L6)</f>
        <v>2281</v>
      </c>
      <c r="N6" s="204">
        <v>6</v>
      </c>
      <c r="O6" s="204">
        <v>2</v>
      </c>
      <c r="P6" s="204">
        <v>54</v>
      </c>
      <c r="Q6" s="204">
        <v>2</v>
      </c>
      <c r="R6" s="210">
        <v>1</v>
      </c>
      <c r="S6" s="210"/>
      <c r="T6" s="210"/>
    </row>
    <row r="7" spans="1:20" s="231" customFormat="1" ht="15.75">
      <c r="A7" s="240" t="s">
        <v>1</v>
      </c>
      <c r="B7" s="225" t="s">
        <v>241</v>
      </c>
      <c r="C7" s="249">
        <v>424</v>
      </c>
      <c r="D7" s="226"/>
      <c r="E7" s="226">
        <v>407</v>
      </c>
      <c r="F7" s="226"/>
      <c r="G7" s="226"/>
      <c r="H7" s="249">
        <v>453</v>
      </c>
      <c r="I7" s="249">
        <v>425</v>
      </c>
      <c r="J7" s="249">
        <v>458</v>
      </c>
      <c r="K7" s="227">
        <v>402</v>
      </c>
      <c r="L7" s="227"/>
      <c r="M7" s="241">
        <f aca="true" t="shared" si="0" ref="M7:M22">SUM(C7:L7)</f>
        <v>2569</v>
      </c>
      <c r="N7" s="224">
        <v>6</v>
      </c>
      <c r="O7" s="224">
        <v>2</v>
      </c>
      <c r="P7" s="224">
        <v>30</v>
      </c>
      <c r="Q7" s="224">
        <v>2</v>
      </c>
      <c r="R7" s="230">
        <v>1</v>
      </c>
      <c r="S7" s="230"/>
      <c r="T7" s="230"/>
    </row>
    <row r="8" spans="1:20" s="211" customFormat="1" ht="15.75">
      <c r="A8" s="238" t="s">
        <v>2</v>
      </c>
      <c r="B8" s="205" t="s">
        <v>234</v>
      </c>
      <c r="C8" s="213"/>
      <c r="D8" s="213"/>
      <c r="E8" s="213"/>
      <c r="F8" s="213"/>
      <c r="G8" s="213"/>
      <c r="H8" s="213"/>
      <c r="I8" s="213"/>
      <c r="J8" s="213"/>
      <c r="K8" s="213"/>
      <c r="L8" s="214"/>
      <c r="M8" s="239" t="s">
        <v>234</v>
      </c>
      <c r="N8" s="215"/>
      <c r="O8" s="215"/>
      <c r="P8" s="215"/>
      <c r="Q8" s="215"/>
      <c r="R8" s="216"/>
      <c r="S8" s="216"/>
      <c r="T8" s="216"/>
    </row>
    <row r="9" spans="1:20" s="231" customFormat="1" ht="15.75">
      <c r="A9" s="240" t="s">
        <v>3</v>
      </c>
      <c r="B9" s="226" t="s">
        <v>242</v>
      </c>
      <c r="C9" s="227">
        <v>401</v>
      </c>
      <c r="D9" s="226"/>
      <c r="E9" s="226">
        <v>406</v>
      </c>
      <c r="F9" s="226"/>
      <c r="G9" s="226">
        <v>352</v>
      </c>
      <c r="H9" s="249">
        <v>441</v>
      </c>
      <c r="I9" s="227">
        <v>420</v>
      </c>
      <c r="J9" s="249">
        <v>436</v>
      </c>
      <c r="K9" s="227"/>
      <c r="L9" s="227"/>
      <c r="M9" s="241">
        <f t="shared" si="0"/>
        <v>2456</v>
      </c>
      <c r="N9" s="224">
        <v>2</v>
      </c>
      <c r="O9" s="224">
        <v>6</v>
      </c>
      <c r="P9" s="229">
        <v>-111</v>
      </c>
      <c r="Q9" s="224">
        <v>0</v>
      </c>
      <c r="R9" s="230"/>
      <c r="S9" s="230"/>
      <c r="T9" s="230">
        <v>1</v>
      </c>
    </row>
    <row r="10" spans="1:20" s="211" customFormat="1" ht="15.75">
      <c r="A10" s="238" t="s">
        <v>4</v>
      </c>
      <c r="B10" s="206" t="s">
        <v>194</v>
      </c>
      <c r="C10" s="207">
        <v>371</v>
      </c>
      <c r="D10" s="205"/>
      <c r="E10" s="205">
        <v>388</v>
      </c>
      <c r="F10" s="205">
        <v>174</v>
      </c>
      <c r="G10" s="205">
        <v>201</v>
      </c>
      <c r="H10" s="247">
        <v>407</v>
      </c>
      <c r="I10" s="207">
        <v>358</v>
      </c>
      <c r="J10" s="207"/>
      <c r="K10" s="247">
        <v>403</v>
      </c>
      <c r="L10" s="207"/>
      <c r="M10" s="239">
        <f t="shared" si="0"/>
        <v>2302</v>
      </c>
      <c r="N10" s="204">
        <v>2</v>
      </c>
      <c r="O10" s="204">
        <v>6</v>
      </c>
      <c r="P10" s="209">
        <v>-184</v>
      </c>
      <c r="Q10" s="204">
        <v>0</v>
      </c>
      <c r="R10" s="210"/>
      <c r="S10" s="210"/>
      <c r="T10" s="210">
        <v>1</v>
      </c>
    </row>
    <row r="11" spans="1:20" s="231" customFormat="1" ht="15.75">
      <c r="A11" s="240" t="s">
        <v>5</v>
      </c>
      <c r="B11" s="227" t="s">
        <v>238</v>
      </c>
      <c r="C11" s="338">
        <v>414</v>
      </c>
      <c r="D11" s="226"/>
      <c r="E11" s="226">
        <v>385</v>
      </c>
      <c r="F11" s="226"/>
      <c r="G11" s="226">
        <v>389</v>
      </c>
      <c r="H11" s="249">
        <v>444</v>
      </c>
      <c r="I11" s="249">
        <v>412</v>
      </c>
      <c r="J11" s="227"/>
      <c r="K11" s="227">
        <v>410</v>
      </c>
      <c r="L11" s="227"/>
      <c r="M11" s="241">
        <f t="shared" si="0"/>
        <v>2454</v>
      </c>
      <c r="N11" s="224">
        <v>3</v>
      </c>
      <c r="O11" s="224">
        <v>5</v>
      </c>
      <c r="P11" s="224">
        <v>-91</v>
      </c>
      <c r="Q11" s="224">
        <v>0</v>
      </c>
      <c r="R11" s="230"/>
      <c r="S11" s="230"/>
      <c r="T11" s="230">
        <v>1</v>
      </c>
    </row>
    <row r="12" spans="1:20" s="211" customFormat="1" ht="15.75">
      <c r="A12" s="238" t="s">
        <v>6</v>
      </c>
      <c r="B12" s="206" t="s">
        <v>15</v>
      </c>
      <c r="C12" s="247">
        <v>431</v>
      </c>
      <c r="D12" s="205"/>
      <c r="E12" s="205">
        <v>377</v>
      </c>
      <c r="F12" s="205"/>
      <c r="G12" s="205">
        <v>395</v>
      </c>
      <c r="H12" s="247">
        <v>414</v>
      </c>
      <c r="I12" s="207">
        <v>377</v>
      </c>
      <c r="J12" s="207"/>
      <c r="K12" s="207"/>
      <c r="L12" s="207">
        <v>395</v>
      </c>
      <c r="M12" s="239">
        <f t="shared" si="0"/>
        <v>2389</v>
      </c>
      <c r="N12" s="204">
        <v>2</v>
      </c>
      <c r="O12" s="204">
        <v>6</v>
      </c>
      <c r="P12" s="209">
        <v>-48</v>
      </c>
      <c r="Q12" s="204">
        <v>0</v>
      </c>
      <c r="R12" s="210"/>
      <c r="S12" s="210"/>
      <c r="T12" s="210">
        <v>1</v>
      </c>
    </row>
    <row r="13" spans="1:20" s="231" customFormat="1" ht="15.75">
      <c r="A13" s="240" t="s">
        <v>7</v>
      </c>
      <c r="B13" s="226" t="s">
        <v>21</v>
      </c>
      <c r="C13" s="249">
        <v>422</v>
      </c>
      <c r="D13" s="226"/>
      <c r="E13" s="251">
        <v>434</v>
      </c>
      <c r="F13" s="226"/>
      <c r="G13" s="226">
        <v>378</v>
      </c>
      <c r="H13" s="249">
        <v>469</v>
      </c>
      <c r="I13" s="227">
        <v>404</v>
      </c>
      <c r="J13" s="227"/>
      <c r="K13" s="227">
        <v>419</v>
      </c>
      <c r="L13" s="227"/>
      <c r="M13" s="241">
        <f t="shared" si="0"/>
        <v>2526</v>
      </c>
      <c r="N13" s="224">
        <v>5</v>
      </c>
      <c r="O13" s="224">
        <v>3</v>
      </c>
      <c r="P13" s="229">
        <v>35</v>
      </c>
      <c r="Q13" s="224">
        <v>2</v>
      </c>
      <c r="R13" s="230">
        <v>1</v>
      </c>
      <c r="S13" s="230"/>
      <c r="T13" s="230"/>
    </row>
    <row r="14" spans="1:20" s="211" customFormat="1" ht="15.75">
      <c r="A14" s="238" t="s">
        <v>8</v>
      </c>
      <c r="B14" s="205" t="s">
        <v>20</v>
      </c>
      <c r="C14" s="207">
        <v>387</v>
      </c>
      <c r="D14" s="207"/>
      <c r="E14" s="247">
        <v>389</v>
      </c>
      <c r="F14" s="207"/>
      <c r="G14" s="247">
        <v>388</v>
      </c>
      <c r="H14" s="207"/>
      <c r="I14" s="247">
        <v>419</v>
      </c>
      <c r="J14" s="207"/>
      <c r="K14" s="247">
        <v>399</v>
      </c>
      <c r="L14" s="207">
        <v>387</v>
      </c>
      <c r="M14" s="239">
        <f t="shared" si="0"/>
        <v>2369</v>
      </c>
      <c r="N14" s="204">
        <v>6</v>
      </c>
      <c r="O14" s="204">
        <v>2</v>
      </c>
      <c r="P14" s="209">
        <v>94</v>
      </c>
      <c r="Q14" s="204">
        <v>2</v>
      </c>
      <c r="R14" s="210">
        <v>1</v>
      </c>
      <c r="S14" s="210"/>
      <c r="T14" s="210"/>
    </row>
    <row r="15" spans="1:20" s="231" customFormat="1" ht="15.75">
      <c r="A15" s="240" t="s">
        <v>9</v>
      </c>
      <c r="B15" s="225" t="s">
        <v>22</v>
      </c>
      <c r="C15" s="227"/>
      <c r="D15" s="226"/>
      <c r="E15" s="226">
        <v>406</v>
      </c>
      <c r="F15" s="226"/>
      <c r="G15" s="226">
        <v>406</v>
      </c>
      <c r="H15" s="249">
        <v>465</v>
      </c>
      <c r="I15" s="251">
        <v>453</v>
      </c>
      <c r="J15" s="227">
        <v>421</v>
      </c>
      <c r="K15" s="227">
        <v>403</v>
      </c>
      <c r="L15" s="227"/>
      <c r="M15" s="241">
        <f t="shared" si="0"/>
        <v>2554</v>
      </c>
      <c r="N15" s="224">
        <v>4</v>
      </c>
      <c r="O15" s="224">
        <v>4</v>
      </c>
      <c r="P15" s="229">
        <v>40</v>
      </c>
      <c r="Q15" s="224">
        <v>1</v>
      </c>
      <c r="R15" s="230"/>
      <c r="S15" s="230">
        <v>1</v>
      </c>
      <c r="T15" s="230"/>
    </row>
    <row r="16" spans="1:20" s="211" customFormat="1" ht="15.75">
      <c r="A16" s="238" t="s">
        <v>10</v>
      </c>
      <c r="B16" s="205" t="s">
        <v>195</v>
      </c>
      <c r="C16" s="205"/>
      <c r="D16" s="205"/>
      <c r="E16" s="246">
        <v>399</v>
      </c>
      <c r="F16" s="205"/>
      <c r="G16" s="205">
        <v>377</v>
      </c>
      <c r="H16" s="246">
        <v>423</v>
      </c>
      <c r="I16" s="205">
        <v>381</v>
      </c>
      <c r="J16" s="205">
        <v>391</v>
      </c>
      <c r="K16" s="205">
        <v>382</v>
      </c>
      <c r="L16" s="205"/>
      <c r="M16" s="239">
        <f t="shared" si="0"/>
        <v>2353</v>
      </c>
      <c r="N16" s="204">
        <v>2</v>
      </c>
      <c r="O16" s="204">
        <v>6</v>
      </c>
      <c r="P16" s="209">
        <v>-54</v>
      </c>
      <c r="Q16" s="204">
        <v>0</v>
      </c>
      <c r="R16" s="210"/>
      <c r="S16" s="210"/>
      <c r="T16" s="210">
        <v>1</v>
      </c>
    </row>
    <row r="17" spans="1:20" s="211" customFormat="1" ht="15.75">
      <c r="A17" s="238" t="s">
        <v>11</v>
      </c>
      <c r="B17" s="205" t="s">
        <v>25</v>
      </c>
      <c r="C17" s="247">
        <v>421</v>
      </c>
      <c r="D17" s="205"/>
      <c r="E17" s="205">
        <v>402</v>
      </c>
      <c r="F17" s="205"/>
      <c r="G17" s="205">
        <v>339</v>
      </c>
      <c r="H17" s="247">
        <v>414</v>
      </c>
      <c r="I17" s="247">
        <v>422</v>
      </c>
      <c r="J17" s="207"/>
      <c r="K17" s="207"/>
      <c r="L17" s="207">
        <v>398</v>
      </c>
      <c r="M17" s="239">
        <f t="shared" si="0"/>
        <v>2396</v>
      </c>
      <c r="N17" s="204">
        <v>4</v>
      </c>
      <c r="O17" s="204">
        <v>4</v>
      </c>
      <c r="P17" s="204">
        <v>0</v>
      </c>
      <c r="Q17" s="204">
        <v>1</v>
      </c>
      <c r="R17" s="210"/>
      <c r="S17" s="210">
        <v>1</v>
      </c>
      <c r="T17" s="210"/>
    </row>
    <row r="18" spans="1:20" s="231" customFormat="1" ht="15.75">
      <c r="A18" s="240" t="s">
        <v>12</v>
      </c>
      <c r="B18" s="226" t="s">
        <v>192</v>
      </c>
      <c r="C18" s="249">
        <v>447</v>
      </c>
      <c r="D18" s="226"/>
      <c r="E18" s="251">
        <v>448</v>
      </c>
      <c r="F18" s="226"/>
      <c r="G18" s="226"/>
      <c r="H18" s="249">
        <v>451</v>
      </c>
      <c r="I18" s="249">
        <v>460</v>
      </c>
      <c r="J18" s="227">
        <v>418</v>
      </c>
      <c r="K18" s="227">
        <v>419</v>
      </c>
      <c r="L18" s="227"/>
      <c r="M18" s="241">
        <f t="shared" si="0"/>
        <v>2643</v>
      </c>
      <c r="N18" s="224">
        <v>6</v>
      </c>
      <c r="O18" s="224">
        <v>2</v>
      </c>
      <c r="P18" s="25">
        <v>163</v>
      </c>
      <c r="Q18" s="224">
        <v>2</v>
      </c>
      <c r="R18" s="230">
        <v>1</v>
      </c>
      <c r="S18" s="230"/>
      <c r="T18" s="230"/>
    </row>
    <row r="19" spans="1:20" s="211" customFormat="1" ht="15.75">
      <c r="A19" s="238" t="s">
        <v>13</v>
      </c>
      <c r="B19" s="205" t="s">
        <v>272</v>
      </c>
      <c r="C19" s="207">
        <v>366</v>
      </c>
      <c r="D19" s="205"/>
      <c r="E19" s="246">
        <v>408</v>
      </c>
      <c r="F19" s="205"/>
      <c r="G19" s="205"/>
      <c r="H19" s="247">
        <v>402</v>
      </c>
      <c r="I19" s="247">
        <v>396</v>
      </c>
      <c r="J19" s="207">
        <v>392</v>
      </c>
      <c r="K19" s="207"/>
      <c r="L19" s="207">
        <v>388</v>
      </c>
      <c r="M19" s="239">
        <f t="shared" si="0"/>
        <v>2352</v>
      </c>
      <c r="N19" s="204">
        <v>5</v>
      </c>
      <c r="O19" s="204">
        <v>3</v>
      </c>
      <c r="P19" s="204">
        <v>387</v>
      </c>
      <c r="Q19" s="204">
        <v>2</v>
      </c>
      <c r="R19" s="210">
        <v>1</v>
      </c>
      <c r="S19" s="210"/>
      <c r="T19" s="210"/>
    </row>
    <row r="20" spans="1:20" s="231" customFormat="1" ht="15.75">
      <c r="A20" s="240" t="s">
        <v>14</v>
      </c>
      <c r="B20" s="226" t="s">
        <v>19</v>
      </c>
      <c r="C20" s="249">
        <v>411</v>
      </c>
      <c r="D20" s="226"/>
      <c r="E20" s="226">
        <v>398</v>
      </c>
      <c r="F20" s="226"/>
      <c r="G20" s="226"/>
      <c r="H20" s="227">
        <v>399</v>
      </c>
      <c r="I20" s="227">
        <v>381</v>
      </c>
      <c r="J20" s="249">
        <v>421</v>
      </c>
      <c r="K20" s="249">
        <v>210</v>
      </c>
      <c r="L20" s="249">
        <v>196</v>
      </c>
      <c r="M20" s="241">
        <f t="shared" si="0"/>
        <v>2416</v>
      </c>
      <c r="N20" s="224">
        <v>3</v>
      </c>
      <c r="O20" s="224">
        <v>5</v>
      </c>
      <c r="P20" s="229">
        <f>M20-2485</f>
        <v>-69</v>
      </c>
      <c r="Q20" s="224">
        <v>0</v>
      </c>
      <c r="R20" s="230"/>
      <c r="S20" s="230"/>
      <c r="T20" s="230">
        <v>1</v>
      </c>
    </row>
    <row r="21" spans="1:18" s="102" customFormat="1" ht="15.75">
      <c r="A21" s="269" t="s">
        <v>239</v>
      </c>
      <c r="B21" s="102" t="s">
        <v>18</v>
      </c>
      <c r="C21" s="102">
        <v>390</v>
      </c>
      <c r="E21" s="250">
        <v>427</v>
      </c>
      <c r="F21" s="102">
        <v>188</v>
      </c>
      <c r="G21" s="250">
        <v>418</v>
      </c>
      <c r="I21" s="250">
        <v>432</v>
      </c>
      <c r="J21" s="250">
        <v>414</v>
      </c>
      <c r="L21" s="102">
        <v>178</v>
      </c>
      <c r="M21" s="270">
        <f t="shared" si="0"/>
        <v>2447</v>
      </c>
      <c r="N21" s="102">
        <v>6</v>
      </c>
      <c r="O21" s="102">
        <v>2</v>
      </c>
      <c r="P21" s="102">
        <v>116</v>
      </c>
      <c r="Q21" s="102">
        <v>2</v>
      </c>
      <c r="R21" s="102">
        <v>1</v>
      </c>
    </row>
    <row r="22" spans="1:20" s="47" customFormat="1" ht="16.5" thickBot="1">
      <c r="A22" s="271" t="s">
        <v>240</v>
      </c>
      <c r="B22" s="47" t="s">
        <v>17</v>
      </c>
      <c r="C22" s="37">
        <v>403</v>
      </c>
      <c r="D22" s="37"/>
      <c r="E22" s="37">
        <v>426</v>
      </c>
      <c r="F22" s="37"/>
      <c r="G22" s="37">
        <v>176</v>
      </c>
      <c r="H22" s="167">
        <v>434</v>
      </c>
      <c r="I22" s="37">
        <v>417</v>
      </c>
      <c r="J22" s="37">
        <v>423</v>
      </c>
      <c r="K22" s="37">
        <v>216</v>
      </c>
      <c r="L22" s="37"/>
      <c r="M22" s="272">
        <f t="shared" si="0"/>
        <v>2495</v>
      </c>
      <c r="N22" s="280">
        <v>1</v>
      </c>
      <c r="O22" s="280">
        <v>7</v>
      </c>
      <c r="P22" s="280">
        <v>-133</v>
      </c>
      <c r="Q22" s="280">
        <v>0</v>
      </c>
      <c r="R22" s="280"/>
      <c r="S22" s="280"/>
      <c r="T22" s="280">
        <v>1</v>
      </c>
    </row>
    <row r="23" spans="3:20" ht="16.5" thickTop="1">
      <c r="C23" s="7">
        <f>SUM(C6:C7)+SUM(C9:C19)+SUM(C20:C22)</f>
        <v>5684</v>
      </c>
      <c r="D23" s="7">
        <f>SUM(D6:D7)+SUM(D8:D19)+SUM(D20:D22)</f>
        <v>0</v>
      </c>
      <c r="E23" s="7">
        <f>SUM(E6:E7)+SUM(E8:E19)+SUM(E20:E22)</f>
        <v>6475</v>
      </c>
      <c r="F23" s="7">
        <f>SUM(F6:F7)+SUM(F11:F18)+SUM(F22)</f>
        <v>0</v>
      </c>
      <c r="G23" s="7">
        <f>SUM(G6:G7)+SUM(G8:G19)+SUM(G20:G21)</f>
        <v>4002</v>
      </c>
      <c r="H23" s="7">
        <f>SUM(H6:H7)+SUM(H8:H19)+SUM(H20:H22)</f>
        <v>5998</v>
      </c>
      <c r="I23" s="7">
        <f>SUM(I6:I7)+SUM(I8:I19)+SUM(I20:I22)</f>
        <v>6536</v>
      </c>
      <c r="J23" s="7">
        <f>SUM(J6:J7)+SUM(J8:J19)+SUM(J20:J22)</f>
        <v>4164</v>
      </c>
      <c r="K23" s="7">
        <f>SUM(K6:K7)+SUM(K8:K19)</f>
        <v>3237</v>
      </c>
      <c r="L23" s="7">
        <f>SUM(L6:L8)+SUM(L10:L12)+SUM(L16:L19)+L14+L22</f>
        <v>1568</v>
      </c>
      <c r="R23" s="2">
        <f>SUM(R6:R22)</f>
        <v>7</v>
      </c>
      <c r="S23" s="2">
        <f>SUM(S6:S22)</f>
        <v>2</v>
      </c>
      <c r="T23" s="2">
        <f>SUM(T6:T22)</f>
        <v>7</v>
      </c>
    </row>
    <row r="24" spans="2:12" ht="15.75">
      <c r="B24" s="1" t="s">
        <v>211</v>
      </c>
      <c r="C24" s="7">
        <f>COUNT(C6:C7)+COUNT(C8:C19)+COUNT(C20:C22)</f>
        <v>14</v>
      </c>
      <c r="D24" s="7">
        <f>COUNT(D6:D7)+COUNT(D8:D19)+COUNT(D20:D22)</f>
        <v>0</v>
      </c>
      <c r="E24" s="7">
        <f>COUNT(E6:E7)+COUNT(E8:E19)+COUNT(E20:E22)</f>
        <v>16</v>
      </c>
      <c r="F24" s="7">
        <f>COUNT(F6:F7)+COUNT(F11:F18)+COUNT(F22)</f>
        <v>0</v>
      </c>
      <c r="G24" s="7">
        <f>COUNT(G6:G7)+COUNT(G8:G19)+COUNT(G20:G21)</f>
        <v>11</v>
      </c>
      <c r="H24" s="7">
        <f>COUNT(H6:H7)+COUNT(H8:H19)+COUNT(H20:H22)</f>
        <v>14</v>
      </c>
      <c r="I24" s="7">
        <f>COUNT(I6:I7)+COUNT(I8:I19)+COUNT(I20:I22)</f>
        <v>16</v>
      </c>
      <c r="J24" s="7">
        <f>COUNT(J6:J7)+COUNT(J8:J19)+COUNT(J20:J22)</f>
        <v>10</v>
      </c>
      <c r="K24" s="7">
        <f>COUNT(K6:K7)+COUNT(K8:K19)</f>
        <v>8</v>
      </c>
      <c r="L24" s="7">
        <f>COUNT(L6:L8)+COUNT(L10:L12)+COUNT(L16:L19)+COUNT(L14)+COUNT(L22)</f>
        <v>4</v>
      </c>
    </row>
    <row r="25" spans="2:20" ht="31.5">
      <c r="B25" s="11" t="s">
        <v>119</v>
      </c>
      <c r="C25" s="259">
        <f>C23/C24</f>
        <v>406</v>
      </c>
      <c r="D25" s="259"/>
      <c r="E25" s="259">
        <f>E23/E24</f>
        <v>404.6875</v>
      </c>
      <c r="F25" s="259"/>
      <c r="G25" s="259">
        <f>G23/G24</f>
        <v>363.8181818181818</v>
      </c>
      <c r="H25" s="259">
        <f>AVERAGE(H6:H22)</f>
        <v>428.42857142857144</v>
      </c>
      <c r="I25" s="259">
        <f>I23/I24</f>
        <v>408.5</v>
      </c>
      <c r="J25" s="259">
        <f>AVERAGE(J6:J22)</f>
        <v>416.4</v>
      </c>
      <c r="K25" s="259">
        <f>K23/K24</f>
        <v>404.625</v>
      </c>
      <c r="L25" s="259">
        <f>L23/L24</f>
        <v>392</v>
      </c>
      <c r="M25" s="3" t="s">
        <v>29</v>
      </c>
      <c r="N25" s="461" t="s">
        <v>109</v>
      </c>
      <c r="O25" s="461"/>
      <c r="P25" s="3" t="s">
        <v>30</v>
      </c>
      <c r="Q25" s="10" t="s">
        <v>110</v>
      </c>
      <c r="S25" s="63" t="s">
        <v>118</v>
      </c>
      <c r="T25" s="63" t="s">
        <v>209</v>
      </c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6">
        <f>SUM(M6:M22)</f>
        <v>39002</v>
      </c>
      <c r="N26" s="1">
        <f>SUM(N6:N22)</f>
        <v>63</v>
      </c>
      <c r="O26" s="1">
        <f>SUM(O6:O22)</f>
        <v>65</v>
      </c>
      <c r="P26" s="1">
        <f>SUM(P6:P22)</f>
        <v>229</v>
      </c>
      <c r="Q26" s="1">
        <f>SUM(Q6:Q22)</f>
        <v>16</v>
      </c>
      <c r="S26" s="2">
        <f>N26-O26</f>
        <v>-2</v>
      </c>
      <c r="T26" s="2">
        <f>SUM(R23:T23)</f>
        <v>16</v>
      </c>
    </row>
    <row r="27" spans="3:13" ht="15.75">
      <c r="C27" s="463" t="s">
        <v>37</v>
      </c>
      <c r="D27" s="463"/>
      <c r="E27" s="45"/>
      <c r="F27" s="45"/>
      <c r="G27" s="45"/>
      <c r="H27" s="458" t="s">
        <v>124</v>
      </c>
      <c r="I27" s="458"/>
      <c r="L27" s="462" t="s">
        <v>125</v>
      </c>
      <c r="M27" s="462"/>
    </row>
    <row r="28" spans="1:20" ht="16.5" thickBo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123"/>
      <c r="S28" s="123"/>
      <c r="T28" s="123"/>
    </row>
    <row r="29" ht="15.75">
      <c r="I29" s="15"/>
    </row>
    <row r="30" spans="2:20" ht="39" customHeight="1" thickBot="1">
      <c r="B30" s="5" t="s">
        <v>24</v>
      </c>
      <c r="C30" s="120" t="s">
        <v>199</v>
      </c>
      <c r="D30" s="120" t="s">
        <v>303</v>
      </c>
      <c r="E30" s="120" t="s">
        <v>200</v>
      </c>
      <c r="F30" s="120" t="s">
        <v>271</v>
      </c>
      <c r="G30" s="8" t="s">
        <v>279</v>
      </c>
      <c r="H30" s="120" t="s">
        <v>51</v>
      </c>
      <c r="I30" s="120" t="s">
        <v>203</v>
      </c>
      <c r="J30" s="120" t="s">
        <v>201</v>
      </c>
      <c r="K30" s="120" t="s">
        <v>280</v>
      </c>
      <c r="L30" s="120" t="s">
        <v>202</v>
      </c>
      <c r="M30" s="3" t="s">
        <v>29</v>
      </c>
      <c r="N30" s="3" t="s">
        <v>196</v>
      </c>
      <c r="O30" s="3" t="s">
        <v>28</v>
      </c>
      <c r="P30" s="3" t="s">
        <v>30</v>
      </c>
      <c r="Q30" s="10" t="s">
        <v>108</v>
      </c>
      <c r="R30" s="2" t="s">
        <v>174</v>
      </c>
      <c r="S30" s="2" t="s">
        <v>175</v>
      </c>
      <c r="T30" s="2" t="s">
        <v>176</v>
      </c>
    </row>
    <row r="31" spans="1:20" s="231" customFormat="1" ht="15.75">
      <c r="A31" s="25" t="s">
        <v>145</v>
      </c>
      <c r="B31" s="35" t="s">
        <v>20</v>
      </c>
      <c r="C31" s="47"/>
      <c r="D31" s="39"/>
      <c r="E31" s="252">
        <v>448</v>
      </c>
      <c r="F31" s="39"/>
      <c r="G31" s="39"/>
      <c r="H31" s="252">
        <v>451</v>
      </c>
      <c r="I31" s="39">
        <v>407</v>
      </c>
      <c r="J31" s="39">
        <v>391</v>
      </c>
      <c r="K31" s="39">
        <v>406</v>
      </c>
      <c r="L31" s="252">
        <v>447</v>
      </c>
      <c r="M31" s="200">
        <f>SUM(C31:L31)</f>
        <v>2550</v>
      </c>
      <c r="N31" s="193">
        <v>3</v>
      </c>
      <c r="O31" s="193">
        <v>5</v>
      </c>
      <c r="P31" s="193">
        <v>-4</v>
      </c>
      <c r="Q31" s="193">
        <v>0</v>
      </c>
      <c r="T31" s="231">
        <v>1</v>
      </c>
    </row>
    <row r="32" spans="1:20" s="211" customFormat="1" ht="15.75">
      <c r="A32" s="19" t="s">
        <v>146</v>
      </c>
      <c r="B32" s="102" t="s">
        <v>22</v>
      </c>
      <c r="C32" s="102">
        <v>379</v>
      </c>
      <c r="D32" s="36"/>
      <c r="E32" s="36">
        <v>396</v>
      </c>
      <c r="F32" s="34"/>
      <c r="G32" s="36"/>
      <c r="H32" s="261">
        <v>401</v>
      </c>
      <c r="I32" s="36">
        <v>385</v>
      </c>
      <c r="J32" s="36">
        <v>382</v>
      </c>
      <c r="K32" s="36"/>
      <c r="L32" s="261">
        <v>401</v>
      </c>
      <c r="M32" s="366">
        <f aca="true" t="shared" si="1" ref="M32:M47">SUM(C32:L32)</f>
        <v>2344</v>
      </c>
      <c r="N32" s="204">
        <v>2</v>
      </c>
      <c r="O32" s="204">
        <v>6</v>
      </c>
      <c r="P32" s="204">
        <v>-83</v>
      </c>
      <c r="Q32" s="204">
        <v>0</v>
      </c>
      <c r="T32" s="211">
        <v>1</v>
      </c>
    </row>
    <row r="33" spans="1:20" s="91" customFormat="1" ht="15.75">
      <c r="A33" s="87" t="s">
        <v>147</v>
      </c>
      <c r="B33" s="93" t="s">
        <v>195</v>
      </c>
      <c r="C33" s="47">
        <v>390</v>
      </c>
      <c r="D33" s="39"/>
      <c r="E33" s="252">
        <v>432</v>
      </c>
      <c r="F33" s="35"/>
      <c r="G33" s="39">
        <v>388</v>
      </c>
      <c r="H33" s="39">
        <v>417</v>
      </c>
      <c r="I33" s="39"/>
      <c r="J33" s="39">
        <v>411</v>
      </c>
      <c r="K33" s="39">
        <v>403</v>
      </c>
      <c r="L33" s="39"/>
      <c r="M33" s="89">
        <f t="shared" si="1"/>
        <v>2441</v>
      </c>
      <c r="N33" s="87">
        <v>1</v>
      </c>
      <c r="O33" s="87">
        <v>7</v>
      </c>
      <c r="P33" s="87">
        <v>-173</v>
      </c>
      <c r="Q33" s="87">
        <v>0</v>
      </c>
      <c r="T33" s="91">
        <v>1</v>
      </c>
    </row>
    <row r="34" spans="1:18" s="27" customFormat="1" ht="15.75">
      <c r="A34" s="193" t="s">
        <v>148</v>
      </c>
      <c r="B34" s="226" t="s">
        <v>25</v>
      </c>
      <c r="C34" s="47">
        <v>417</v>
      </c>
      <c r="D34" s="39"/>
      <c r="E34" s="252">
        <v>428</v>
      </c>
      <c r="F34" s="39"/>
      <c r="G34" s="39">
        <v>411</v>
      </c>
      <c r="H34" s="39">
        <v>420</v>
      </c>
      <c r="I34" s="252">
        <v>437</v>
      </c>
      <c r="J34" s="252">
        <v>472</v>
      </c>
      <c r="K34" s="39"/>
      <c r="L34" s="39"/>
      <c r="M34" s="128">
        <f t="shared" si="1"/>
        <v>2585</v>
      </c>
      <c r="N34" s="25">
        <v>5</v>
      </c>
      <c r="O34" s="25">
        <v>3</v>
      </c>
      <c r="P34" s="25">
        <v>19</v>
      </c>
      <c r="Q34" s="25">
        <v>2</v>
      </c>
      <c r="R34" s="27">
        <v>1</v>
      </c>
    </row>
    <row r="35" spans="1:18" s="106" customFormat="1" ht="15.75">
      <c r="A35" s="19" t="s">
        <v>149</v>
      </c>
      <c r="B35" s="34" t="s">
        <v>192</v>
      </c>
      <c r="C35" s="102">
        <v>390</v>
      </c>
      <c r="D35" s="36"/>
      <c r="E35" s="261">
        <v>405</v>
      </c>
      <c r="F35" s="36"/>
      <c r="G35" s="261">
        <v>421</v>
      </c>
      <c r="H35" s="261">
        <v>413</v>
      </c>
      <c r="I35" s="36"/>
      <c r="J35" s="261">
        <v>423</v>
      </c>
      <c r="K35" s="36"/>
      <c r="L35" s="36">
        <v>389</v>
      </c>
      <c r="M35" s="105">
        <f t="shared" si="1"/>
        <v>2441</v>
      </c>
      <c r="N35" s="103">
        <v>6</v>
      </c>
      <c r="O35" s="103">
        <v>2</v>
      </c>
      <c r="P35" s="103">
        <v>46</v>
      </c>
      <c r="Q35" s="103">
        <v>2</v>
      </c>
      <c r="R35" s="106">
        <v>1</v>
      </c>
    </row>
    <row r="36" spans="1:18" s="27" customFormat="1" ht="15.75">
      <c r="A36" s="87" t="s">
        <v>150</v>
      </c>
      <c r="B36" s="93" t="s">
        <v>272</v>
      </c>
      <c r="C36" s="47">
        <v>400</v>
      </c>
      <c r="D36" s="39"/>
      <c r="E36" s="252">
        <v>427</v>
      </c>
      <c r="F36" s="39"/>
      <c r="G36" s="39">
        <v>404</v>
      </c>
      <c r="H36" s="252">
        <v>477</v>
      </c>
      <c r="I36" s="39">
        <v>419</v>
      </c>
      <c r="J36" s="252">
        <v>447</v>
      </c>
      <c r="K36" s="39"/>
      <c r="L36" s="39"/>
      <c r="M36" s="128">
        <f t="shared" si="1"/>
        <v>2574</v>
      </c>
      <c r="N36" s="25">
        <v>5</v>
      </c>
      <c r="O36" s="25">
        <v>3</v>
      </c>
      <c r="P36" s="25">
        <v>54</v>
      </c>
      <c r="Q36" s="25">
        <v>2</v>
      </c>
      <c r="R36" s="27">
        <v>1</v>
      </c>
    </row>
    <row r="37" spans="1:18" s="23" customFormat="1" ht="15.75">
      <c r="A37" s="204" t="s">
        <v>151</v>
      </c>
      <c r="B37" s="205" t="s">
        <v>19</v>
      </c>
      <c r="C37" s="102"/>
      <c r="D37" s="36"/>
      <c r="E37" s="261">
        <v>404</v>
      </c>
      <c r="F37" s="36"/>
      <c r="G37" s="36">
        <v>377</v>
      </c>
      <c r="H37" s="261">
        <v>402</v>
      </c>
      <c r="I37" s="36">
        <v>393</v>
      </c>
      <c r="J37" s="36">
        <v>393</v>
      </c>
      <c r="K37" s="36"/>
      <c r="L37" s="261">
        <v>395</v>
      </c>
      <c r="M37" s="58">
        <f t="shared" si="1"/>
        <v>2364</v>
      </c>
      <c r="N37" s="19">
        <v>5</v>
      </c>
      <c r="O37" s="19">
        <v>3</v>
      </c>
      <c r="P37" s="19">
        <v>56</v>
      </c>
      <c r="Q37" s="19">
        <v>2</v>
      </c>
      <c r="R37" s="23">
        <v>1</v>
      </c>
    </row>
    <row r="38" spans="1:20" s="27" customFormat="1" ht="15.75">
      <c r="A38" s="87" t="s">
        <v>152</v>
      </c>
      <c r="B38" s="97" t="s">
        <v>18</v>
      </c>
      <c r="C38" s="47">
        <v>411</v>
      </c>
      <c r="D38" s="39"/>
      <c r="E38" s="252">
        <v>426</v>
      </c>
      <c r="F38" s="39"/>
      <c r="G38" s="39">
        <v>384</v>
      </c>
      <c r="H38" s="252">
        <v>441</v>
      </c>
      <c r="I38" s="39">
        <v>409</v>
      </c>
      <c r="J38" s="252">
        <v>429</v>
      </c>
      <c r="K38" s="39"/>
      <c r="L38" s="39"/>
      <c r="M38" s="128">
        <f t="shared" si="1"/>
        <v>2500</v>
      </c>
      <c r="N38" s="25">
        <v>3</v>
      </c>
      <c r="O38" s="25">
        <v>5</v>
      </c>
      <c r="P38" s="25">
        <v>-114</v>
      </c>
      <c r="Q38" s="25">
        <v>0</v>
      </c>
      <c r="T38" s="27">
        <v>1</v>
      </c>
    </row>
    <row r="39" spans="1:20" s="211" customFormat="1" ht="15.75">
      <c r="A39" s="83" t="s">
        <v>153</v>
      </c>
      <c r="B39" s="96" t="s">
        <v>17</v>
      </c>
      <c r="C39" s="250">
        <v>418</v>
      </c>
      <c r="D39" s="36"/>
      <c r="E39" s="261">
        <v>408</v>
      </c>
      <c r="F39" s="36">
        <v>359</v>
      </c>
      <c r="G39" s="36"/>
      <c r="H39" s="36">
        <v>404</v>
      </c>
      <c r="I39" s="36">
        <v>338</v>
      </c>
      <c r="J39" s="36"/>
      <c r="K39" s="36"/>
      <c r="L39" s="36">
        <v>374</v>
      </c>
      <c r="M39" s="366">
        <f t="shared" si="1"/>
        <v>2301</v>
      </c>
      <c r="N39" s="204">
        <v>2</v>
      </c>
      <c r="O39" s="204">
        <v>6</v>
      </c>
      <c r="P39" s="204">
        <v>-145</v>
      </c>
      <c r="Q39" s="204">
        <v>0</v>
      </c>
      <c r="T39" s="211">
        <v>1</v>
      </c>
    </row>
    <row r="40" spans="1:18" s="27" customFormat="1" ht="15.75">
      <c r="A40" s="87" t="s">
        <v>154</v>
      </c>
      <c r="B40" s="97" t="s">
        <v>193</v>
      </c>
      <c r="C40" s="47"/>
      <c r="D40" s="39"/>
      <c r="E40" s="252">
        <v>417</v>
      </c>
      <c r="F40" s="39"/>
      <c r="G40" s="39">
        <v>401</v>
      </c>
      <c r="H40" s="252">
        <v>478</v>
      </c>
      <c r="I40" s="39">
        <v>361</v>
      </c>
      <c r="J40" s="252">
        <v>464</v>
      </c>
      <c r="K40" s="39"/>
      <c r="L40" s="39">
        <v>396</v>
      </c>
      <c r="M40" s="128">
        <f t="shared" si="1"/>
        <v>2517</v>
      </c>
      <c r="N40" s="25">
        <v>5</v>
      </c>
      <c r="O40" s="25">
        <v>3</v>
      </c>
      <c r="P40" s="25">
        <v>110</v>
      </c>
      <c r="Q40" s="25">
        <v>2</v>
      </c>
      <c r="R40" s="27">
        <v>1</v>
      </c>
    </row>
    <row r="41" spans="1:18" s="106" customFormat="1" ht="15.75">
      <c r="A41" s="19" t="s">
        <v>155</v>
      </c>
      <c r="B41" s="102" t="s">
        <v>241</v>
      </c>
      <c r="C41" s="250">
        <v>406</v>
      </c>
      <c r="D41" s="36"/>
      <c r="E41" s="36">
        <v>379</v>
      </c>
      <c r="F41" s="36"/>
      <c r="G41" s="36">
        <v>387</v>
      </c>
      <c r="H41" s="261">
        <v>414</v>
      </c>
      <c r="I41" s="36"/>
      <c r="J41" s="261">
        <v>406</v>
      </c>
      <c r="K41" s="36"/>
      <c r="L41" s="36">
        <v>398</v>
      </c>
      <c r="M41" s="105">
        <f t="shared" si="1"/>
        <v>2390</v>
      </c>
      <c r="N41" s="103">
        <v>5</v>
      </c>
      <c r="O41" s="103">
        <v>3</v>
      </c>
      <c r="P41" s="103">
        <v>10</v>
      </c>
      <c r="Q41" s="103">
        <v>2</v>
      </c>
      <c r="R41" s="106">
        <v>1</v>
      </c>
    </row>
    <row r="42" spans="1:17" s="27" customFormat="1" ht="15.75">
      <c r="A42" s="87" t="s">
        <v>156</v>
      </c>
      <c r="B42" s="93" t="s">
        <v>234</v>
      </c>
      <c r="C42" s="277"/>
      <c r="D42" s="110"/>
      <c r="E42" s="110"/>
      <c r="F42" s="110"/>
      <c r="G42" s="110"/>
      <c r="H42" s="110"/>
      <c r="I42" s="110"/>
      <c r="J42" s="110"/>
      <c r="K42" s="110"/>
      <c r="L42" s="276"/>
      <c r="M42" s="128" t="s">
        <v>234</v>
      </c>
      <c r="N42" s="25"/>
      <c r="O42" s="25"/>
      <c r="P42" s="25"/>
      <c r="Q42" s="25"/>
    </row>
    <row r="43" spans="1:18" s="23" customFormat="1" ht="15.75">
      <c r="A43" s="204" t="s">
        <v>157</v>
      </c>
      <c r="B43" s="205" t="s">
        <v>242</v>
      </c>
      <c r="C43" s="250">
        <v>395</v>
      </c>
      <c r="D43" s="36"/>
      <c r="E43" s="36">
        <v>378</v>
      </c>
      <c r="F43" s="36"/>
      <c r="G43" s="261">
        <v>408</v>
      </c>
      <c r="H43" s="36">
        <v>386</v>
      </c>
      <c r="I43" s="261">
        <v>397</v>
      </c>
      <c r="J43" s="261">
        <v>415</v>
      </c>
      <c r="K43" s="36"/>
      <c r="L43" s="36"/>
      <c r="M43" s="58">
        <f t="shared" si="1"/>
        <v>2379</v>
      </c>
      <c r="N43" s="19">
        <v>6</v>
      </c>
      <c r="O43" s="19">
        <v>2</v>
      </c>
      <c r="P43" s="19">
        <f>M43-2297</f>
        <v>82</v>
      </c>
      <c r="Q43" s="19">
        <v>2</v>
      </c>
      <c r="R43" s="23">
        <v>1</v>
      </c>
    </row>
    <row r="44" spans="1:20" s="91" customFormat="1" ht="15.75">
      <c r="A44" s="87" t="s">
        <v>243</v>
      </c>
      <c r="B44" s="97" t="s">
        <v>194</v>
      </c>
      <c r="C44" s="47"/>
      <c r="D44" s="39">
        <v>356</v>
      </c>
      <c r="E44" s="39">
        <v>407</v>
      </c>
      <c r="F44" s="35"/>
      <c r="G44" s="39">
        <v>393</v>
      </c>
      <c r="H44" s="39"/>
      <c r="I44" s="252">
        <v>423</v>
      </c>
      <c r="J44" s="39">
        <v>402</v>
      </c>
      <c r="K44" s="39"/>
      <c r="L44" s="39">
        <v>390</v>
      </c>
      <c r="M44" s="89">
        <f t="shared" si="1"/>
        <v>2371</v>
      </c>
      <c r="N44" s="87">
        <v>1</v>
      </c>
      <c r="O44" s="87">
        <v>7</v>
      </c>
      <c r="P44" s="87">
        <v>-226</v>
      </c>
      <c r="Q44" s="87">
        <v>0</v>
      </c>
      <c r="T44" s="91">
        <v>1</v>
      </c>
    </row>
    <row r="45" spans="1:18" s="23" customFormat="1" ht="15.75">
      <c r="A45" s="83" t="s">
        <v>244</v>
      </c>
      <c r="B45" s="99" t="s">
        <v>238</v>
      </c>
      <c r="C45" s="250">
        <v>411</v>
      </c>
      <c r="D45" s="36">
        <v>192</v>
      </c>
      <c r="E45" s="261">
        <v>417</v>
      </c>
      <c r="F45" s="34"/>
      <c r="G45" s="36">
        <v>354</v>
      </c>
      <c r="H45" s="36">
        <v>200</v>
      </c>
      <c r="I45" s="261">
        <v>399</v>
      </c>
      <c r="J45" s="261">
        <v>421</v>
      </c>
      <c r="K45" s="36"/>
      <c r="L45" s="36"/>
      <c r="M45" s="58">
        <f t="shared" si="1"/>
        <v>2394</v>
      </c>
      <c r="N45" s="19">
        <v>6</v>
      </c>
      <c r="O45" s="19">
        <v>2</v>
      </c>
      <c r="P45" s="19">
        <v>102</v>
      </c>
      <c r="Q45" s="19">
        <v>2</v>
      </c>
      <c r="R45" s="23">
        <v>1</v>
      </c>
    </row>
    <row r="46" spans="1:20" s="27" customFormat="1" ht="15.75">
      <c r="A46" s="193" t="s">
        <v>266</v>
      </c>
      <c r="B46" s="225" t="s">
        <v>15</v>
      </c>
      <c r="C46" s="47">
        <v>400</v>
      </c>
      <c r="D46" s="39"/>
      <c r="E46" s="39">
        <v>407</v>
      </c>
      <c r="F46" s="39"/>
      <c r="G46" s="39"/>
      <c r="H46" s="39">
        <v>416</v>
      </c>
      <c r="I46" s="39">
        <v>416</v>
      </c>
      <c r="J46" s="252">
        <v>452</v>
      </c>
      <c r="K46" s="39"/>
      <c r="L46" s="39">
        <v>364</v>
      </c>
      <c r="M46" s="128">
        <f t="shared" si="1"/>
        <v>2455</v>
      </c>
      <c r="N46" s="25">
        <v>1</v>
      </c>
      <c r="O46" s="25">
        <v>7</v>
      </c>
      <c r="P46" s="25">
        <v>-211</v>
      </c>
      <c r="Q46" s="25">
        <v>0</v>
      </c>
      <c r="T46" s="27">
        <v>1</v>
      </c>
    </row>
    <row r="47" spans="1:20" s="211" customFormat="1" ht="16.5" thickBot="1">
      <c r="A47" s="83" t="s">
        <v>267</v>
      </c>
      <c r="B47" s="95" t="s">
        <v>21</v>
      </c>
      <c r="C47" s="102">
        <v>379</v>
      </c>
      <c r="D47" s="150"/>
      <c r="E47" s="150">
        <v>402</v>
      </c>
      <c r="F47" s="150"/>
      <c r="G47" s="150">
        <v>378</v>
      </c>
      <c r="H47" s="150">
        <v>432</v>
      </c>
      <c r="I47" s="150">
        <v>394</v>
      </c>
      <c r="J47" s="150">
        <v>449</v>
      </c>
      <c r="K47" s="150"/>
      <c r="L47" s="150"/>
      <c r="M47" s="366">
        <f t="shared" si="1"/>
        <v>2434</v>
      </c>
      <c r="N47" s="374">
        <v>5</v>
      </c>
      <c r="O47" s="374">
        <v>3</v>
      </c>
      <c r="P47" s="374">
        <v>66</v>
      </c>
      <c r="Q47" s="374">
        <v>2</v>
      </c>
      <c r="R47" s="396">
        <v>1</v>
      </c>
      <c r="S47" s="396"/>
      <c r="T47" s="396"/>
    </row>
    <row r="48" spans="3:20" ht="16.5" thickTop="1">
      <c r="C48" s="56">
        <f aca="true" t="shared" si="2" ref="C48:K48">SUM(C31:C47)</f>
        <v>4796</v>
      </c>
      <c r="D48" s="56">
        <f>SUM(D31:D44)+SUM(D46:D47)</f>
        <v>356</v>
      </c>
      <c r="E48" s="56">
        <f>SUM(E31:E47)</f>
        <v>6581</v>
      </c>
      <c r="F48" s="56">
        <f>SUM(F31:F47)</f>
        <v>359</v>
      </c>
      <c r="G48" s="56">
        <f>SUM(G31:G33)+SUM(G34:G47)</f>
        <v>4706</v>
      </c>
      <c r="H48" s="56">
        <f>SUM(H31:H44)+SUM(H46:H47)</f>
        <v>5952</v>
      </c>
      <c r="I48" s="56">
        <f t="shared" si="2"/>
        <v>5178</v>
      </c>
      <c r="J48" s="56">
        <f t="shared" si="2"/>
        <v>6357</v>
      </c>
      <c r="K48" s="56">
        <f t="shared" si="2"/>
        <v>809</v>
      </c>
      <c r="L48" s="56">
        <f>SUM(L31:L45)+SUM(L46:L47)</f>
        <v>3554</v>
      </c>
      <c r="N48" s="1">
        <f>SUM(N31:N47)</f>
        <v>61</v>
      </c>
      <c r="O48" s="1">
        <f>SUM(O31:O47)</f>
        <v>67</v>
      </c>
      <c r="P48" s="1">
        <f>SUM(P31:P47)</f>
        <v>-411</v>
      </c>
      <c r="Q48" s="1">
        <f>SUM(Q31:Q47)</f>
        <v>18</v>
      </c>
      <c r="R48" s="1">
        <f>SUM(R31:R47)+R23</f>
        <v>16</v>
      </c>
      <c r="S48" s="1">
        <f>SUM(S31:S47)+S23</f>
        <v>2</v>
      </c>
      <c r="T48" s="1">
        <f>SUM(T31:T47)+T23</f>
        <v>14</v>
      </c>
    </row>
    <row r="49" spans="2:12" ht="15.75">
      <c r="B49" s="100" t="s">
        <v>231</v>
      </c>
      <c r="C49" s="40">
        <f>COUNT(C31:C47)</f>
        <v>12</v>
      </c>
      <c r="D49" s="40">
        <f>COUNT(D31:D44)+COUNT(D46:D47)</f>
        <v>1</v>
      </c>
      <c r="E49" s="40">
        <f>COUNT(E31:E47)</f>
        <v>16</v>
      </c>
      <c r="F49" s="40">
        <f>COUNT(F31:F47)</f>
        <v>1</v>
      </c>
      <c r="G49" s="40">
        <f>COUNT(G31:G33)+COUNT(G34:G47)</f>
        <v>12</v>
      </c>
      <c r="H49" s="40">
        <f>COUNT(H31:H44)+COUNT(H46:H47)</f>
        <v>14</v>
      </c>
      <c r="I49" s="40">
        <f>COUNT(I31:I47)</f>
        <v>13</v>
      </c>
      <c r="J49" s="40">
        <f>COUNT(J31:J47)</f>
        <v>15</v>
      </c>
      <c r="K49" s="40">
        <f>COUNT(K31:K47)</f>
        <v>2</v>
      </c>
      <c r="L49" s="56">
        <f>COUNT(L31:L45)+COUNT(L46:L47)</f>
        <v>9</v>
      </c>
    </row>
    <row r="50" spans="2:20" ht="31.5">
      <c r="B50" s="11" t="s">
        <v>230</v>
      </c>
      <c r="C50" s="17">
        <f>C48/C49</f>
        <v>399.6666666666667</v>
      </c>
      <c r="D50" s="17">
        <f>D48/D49</f>
        <v>356</v>
      </c>
      <c r="E50" s="17">
        <f>E48/E49</f>
        <v>411.3125</v>
      </c>
      <c r="F50" s="17">
        <f>F48/F49</f>
        <v>359</v>
      </c>
      <c r="G50" s="17">
        <f aca="true" t="shared" si="3" ref="G50:L50">G48/G49</f>
        <v>392.1666666666667</v>
      </c>
      <c r="H50" s="17">
        <f t="shared" si="3"/>
        <v>425.14285714285717</v>
      </c>
      <c r="I50" s="17">
        <f t="shared" si="3"/>
        <v>398.3076923076923</v>
      </c>
      <c r="J50" s="17">
        <f t="shared" si="3"/>
        <v>423.8</v>
      </c>
      <c r="K50" s="17">
        <f t="shared" si="3"/>
        <v>404.5</v>
      </c>
      <c r="L50" s="17">
        <f t="shared" si="3"/>
        <v>394.8888888888889</v>
      </c>
      <c r="M50" s="3" t="s">
        <v>29</v>
      </c>
      <c r="N50" s="461" t="s">
        <v>109</v>
      </c>
      <c r="O50" s="461"/>
      <c r="P50" s="3" t="s">
        <v>30</v>
      </c>
      <c r="Q50" s="10" t="s">
        <v>110</v>
      </c>
      <c r="S50" s="63" t="s">
        <v>118</v>
      </c>
      <c r="T50" s="63" t="s">
        <v>209</v>
      </c>
    </row>
    <row r="51" spans="13:20" ht="15.75">
      <c r="M51" s="6">
        <f>SUM(M31:M47)+M26</f>
        <v>78042</v>
      </c>
      <c r="N51" s="6">
        <f>SUM(N31:N47)</f>
        <v>61</v>
      </c>
      <c r="O51" s="6">
        <f>SUM(O31:O47)</f>
        <v>67</v>
      </c>
      <c r="P51" s="6">
        <f>SUM(P31:P47)+P26</f>
        <v>-182</v>
      </c>
      <c r="Q51" s="6">
        <f>SUM(Q31:Q47)+Q26</f>
        <v>34</v>
      </c>
      <c r="S51" s="2">
        <f>N51-O51</f>
        <v>-6</v>
      </c>
      <c r="T51" s="2">
        <f>SUM(R48:T48)</f>
        <v>32</v>
      </c>
    </row>
    <row r="53" spans="13:14" ht="15.75">
      <c r="M53" s="1" t="s">
        <v>120</v>
      </c>
      <c r="N53" s="18">
        <f>M51/T51</f>
        <v>2438.8125</v>
      </c>
    </row>
  </sheetData>
  <sheetProtection/>
  <mergeCells count="9">
    <mergeCell ref="N50:O50"/>
    <mergeCell ref="L27:M27"/>
    <mergeCell ref="G1:I1"/>
    <mergeCell ref="J1:L1"/>
    <mergeCell ref="C4:L4"/>
    <mergeCell ref="N4:O4"/>
    <mergeCell ref="C27:D27"/>
    <mergeCell ref="N25:O25"/>
    <mergeCell ref="H27:I27"/>
  </mergeCells>
  <printOptions/>
  <pageMargins left="0.75" right="0.75" top="1" bottom="1" header="0.5" footer="0.5"/>
  <pageSetup horizontalDpi="600" verticalDpi="600" orientation="portrait" paperSize="9" r:id="rId1"/>
  <ignoredErrors>
    <ignoredError sqref="I25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Y54"/>
  <sheetViews>
    <sheetView zoomScale="90" zoomScaleNormal="90" zoomScalePageLayoutView="0" workbookViewId="0" topLeftCell="A29">
      <selection activeCell="I38" sqref="I38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10.75390625" style="1" customWidth="1"/>
    <col min="4" max="4" width="9.375" style="1" customWidth="1"/>
    <col min="5" max="5" width="8.625" style="1" customWidth="1"/>
    <col min="6" max="8" width="10.25390625" style="1" customWidth="1"/>
    <col min="9" max="9" width="9.25390625" style="1" customWidth="1"/>
    <col min="10" max="10" width="10.75390625" style="1" customWidth="1"/>
    <col min="11" max="11" width="10.375" style="1" customWidth="1"/>
    <col min="12" max="12" width="11.375" style="1" customWidth="1"/>
    <col min="13" max="13" width="8.875" style="1" customWidth="1"/>
    <col min="14" max="14" width="9.375" style="1" customWidth="1"/>
    <col min="15" max="15" width="18.375" style="1" bestFit="1" customWidth="1"/>
    <col min="16" max="16" width="11.25390625" style="1" customWidth="1"/>
    <col min="17" max="17" width="10.375" style="1" customWidth="1"/>
    <col min="18" max="18" width="13.375" style="1" customWidth="1"/>
    <col min="19" max="19" width="11.00390625" style="1" customWidth="1"/>
    <col min="20" max="20" width="9.25390625" style="0" bestFit="1" customWidth="1"/>
    <col min="21" max="21" width="12.875" style="0" customWidth="1"/>
    <col min="22" max="22" width="12.125" style="0" customWidth="1"/>
  </cols>
  <sheetData>
    <row r="1" spans="1:16" ht="15.75">
      <c r="A1" s="48" t="s">
        <v>133</v>
      </c>
      <c r="B1" s="49"/>
      <c r="C1" s="49" t="s">
        <v>252</v>
      </c>
      <c r="D1" s="49" t="s">
        <v>134</v>
      </c>
      <c r="E1" s="459" t="s">
        <v>132</v>
      </c>
      <c r="F1" s="459"/>
      <c r="G1" s="49"/>
      <c r="H1" s="49"/>
      <c r="J1" s="455" t="s">
        <v>143</v>
      </c>
      <c r="K1" s="455"/>
      <c r="L1" s="11" t="s">
        <v>144</v>
      </c>
      <c r="M1" s="13" t="s">
        <v>118</v>
      </c>
      <c r="O1" s="1" t="s">
        <v>120</v>
      </c>
      <c r="P1" s="18">
        <f>O26/V26</f>
        <v>2427.375</v>
      </c>
    </row>
    <row r="2" spans="10:16" ht="15.75">
      <c r="J2" s="1">
        <f>P26+P49</f>
        <v>84</v>
      </c>
      <c r="K2" s="1">
        <f>Q26+Q49</f>
        <v>172</v>
      </c>
      <c r="L2" s="1">
        <f>S26+S49</f>
        <v>10</v>
      </c>
      <c r="M2" s="1">
        <f>J2-K2</f>
        <v>-88</v>
      </c>
      <c r="O2" s="1" t="s">
        <v>216</v>
      </c>
      <c r="P2" s="6">
        <f>O7+O10+O12+O14+O16+O18+O20+O22+O33+O35+O37+O41+O43+O44+O46</f>
        <v>36488</v>
      </c>
    </row>
    <row r="4" spans="3:22" ht="15.75">
      <c r="C4" s="461" t="s">
        <v>26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P4" s="461" t="s">
        <v>27</v>
      </c>
      <c r="Q4" s="461"/>
      <c r="T4" s="2"/>
      <c r="U4" s="2"/>
      <c r="V4" s="2"/>
    </row>
    <row r="5" spans="2:22" ht="32.25" thickBot="1">
      <c r="B5" s="3" t="s">
        <v>24</v>
      </c>
      <c r="C5" s="8" t="s">
        <v>82</v>
      </c>
      <c r="D5" s="8" t="s">
        <v>83</v>
      </c>
      <c r="E5" s="8" t="s">
        <v>84</v>
      </c>
      <c r="F5" s="8" t="s">
        <v>248</v>
      </c>
      <c r="G5" s="120" t="s">
        <v>273</v>
      </c>
      <c r="H5" s="180" t="s">
        <v>274</v>
      </c>
      <c r="I5" s="8" t="s">
        <v>187</v>
      </c>
      <c r="J5" s="8" t="s">
        <v>97</v>
      </c>
      <c r="K5" s="8" t="s">
        <v>96</v>
      </c>
      <c r="L5" s="8" t="s">
        <v>121</v>
      </c>
      <c r="M5" s="8" t="s">
        <v>184</v>
      </c>
      <c r="N5" s="8" t="s">
        <v>249</v>
      </c>
      <c r="O5" s="11" t="s">
        <v>29</v>
      </c>
      <c r="P5" s="11" t="s">
        <v>21</v>
      </c>
      <c r="Q5" s="11" t="s">
        <v>28</v>
      </c>
      <c r="R5" s="11" t="s">
        <v>30</v>
      </c>
      <c r="S5" s="10" t="s">
        <v>108</v>
      </c>
      <c r="T5" s="2" t="s">
        <v>174</v>
      </c>
      <c r="U5" s="2" t="s">
        <v>175</v>
      </c>
      <c r="V5" s="2" t="s">
        <v>176</v>
      </c>
    </row>
    <row r="6" spans="1:22" s="211" customFormat="1" ht="15.75">
      <c r="A6" s="204" t="s">
        <v>0</v>
      </c>
      <c r="B6" s="206" t="s">
        <v>194</v>
      </c>
      <c r="C6" s="205"/>
      <c r="D6" s="205">
        <v>357</v>
      </c>
      <c r="E6" s="205"/>
      <c r="F6" s="205">
        <v>386</v>
      </c>
      <c r="G6" s="205"/>
      <c r="H6" s="205"/>
      <c r="I6" s="246">
        <v>429</v>
      </c>
      <c r="J6" s="205"/>
      <c r="K6" s="205"/>
      <c r="L6" s="246">
        <v>415</v>
      </c>
      <c r="M6" s="205">
        <v>396</v>
      </c>
      <c r="N6" s="246">
        <v>446</v>
      </c>
      <c r="O6" s="239">
        <f aca="true" t="shared" si="0" ref="O6:O22">SUM(C6:N6)</f>
        <v>2429</v>
      </c>
      <c r="P6" s="204">
        <v>3</v>
      </c>
      <c r="Q6" s="204">
        <v>5</v>
      </c>
      <c r="R6" s="209">
        <v>-61</v>
      </c>
      <c r="S6" s="204">
        <v>0</v>
      </c>
      <c r="T6" s="210"/>
      <c r="U6" s="210"/>
      <c r="V6" s="210">
        <v>1</v>
      </c>
    </row>
    <row r="7" spans="1:22" s="231" customFormat="1" ht="15.75">
      <c r="A7" s="224" t="s">
        <v>1</v>
      </c>
      <c r="B7" s="227" t="s">
        <v>238</v>
      </c>
      <c r="C7" s="226"/>
      <c r="D7" s="226"/>
      <c r="E7" s="226"/>
      <c r="F7" s="226"/>
      <c r="G7" s="226"/>
      <c r="H7" s="251">
        <v>469</v>
      </c>
      <c r="I7" s="226">
        <v>402</v>
      </c>
      <c r="J7" s="226">
        <v>376</v>
      </c>
      <c r="K7" s="226"/>
      <c r="L7" s="226">
        <v>356</v>
      </c>
      <c r="M7" s="226">
        <v>371</v>
      </c>
      <c r="N7" s="251">
        <v>403</v>
      </c>
      <c r="O7" s="241">
        <f t="shared" si="0"/>
        <v>2377</v>
      </c>
      <c r="P7" s="224">
        <v>2</v>
      </c>
      <c r="Q7" s="224">
        <v>6</v>
      </c>
      <c r="R7" s="224">
        <v>-128</v>
      </c>
      <c r="S7" s="224">
        <v>0</v>
      </c>
      <c r="T7" s="230"/>
      <c r="U7" s="230"/>
      <c r="V7" s="230">
        <v>1</v>
      </c>
    </row>
    <row r="8" spans="1:22" s="211" customFormat="1" ht="15.75">
      <c r="A8" s="204" t="s">
        <v>2</v>
      </c>
      <c r="B8" s="206" t="s">
        <v>15</v>
      </c>
      <c r="C8" s="205">
        <v>410</v>
      </c>
      <c r="D8" s="246">
        <v>426</v>
      </c>
      <c r="E8" s="205"/>
      <c r="F8" s="205">
        <v>399</v>
      </c>
      <c r="G8" s="205"/>
      <c r="H8" s="205"/>
      <c r="I8" s="246">
        <v>462</v>
      </c>
      <c r="J8" s="205">
        <v>375</v>
      </c>
      <c r="K8" s="205"/>
      <c r="L8" s="205"/>
      <c r="M8" s="205"/>
      <c r="N8" s="205">
        <v>414</v>
      </c>
      <c r="O8" s="239">
        <f t="shared" si="0"/>
        <v>2486</v>
      </c>
      <c r="P8" s="204">
        <v>2</v>
      </c>
      <c r="Q8" s="204">
        <v>6</v>
      </c>
      <c r="R8" s="204">
        <v>-72</v>
      </c>
      <c r="S8" s="204">
        <v>0</v>
      </c>
      <c r="T8" s="210"/>
      <c r="U8" s="210"/>
      <c r="V8" s="210">
        <v>1</v>
      </c>
    </row>
    <row r="9" spans="1:22" s="211" customFormat="1" ht="15.75">
      <c r="A9" s="204" t="s">
        <v>3</v>
      </c>
      <c r="B9" s="205" t="s">
        <v>25</v>
      </c>
      <c r="C9" s="246">
        <v>412</v>
      </c>
      <c r="D9" s="205">
        <v>409</v>
      </c>
      <c r="E9" s="205"/>
      <c r="F9" s="205">
        <v>198</v>
      </c>
      <c r="G9" s="205"/>
      <c r="H9" s="246">
        <v>439</v>
      </c>
      <c r="I9" s="246">
        <v>423</v>
      </c>
      <c r="J9" s="205"/>
      <c r="K9" s="205"/>
      <c r="L9" s="205"/>
      <c r="M9" s="205">
        <v>180</v>
      </c>
      <c r="N9" s="246">
        <v>431</v>
      </c>
      <c r="O9" s="239">
        <f t="shared" si="0"/>
        <v>2492</v>
      </c>
      <c r="P9" s="204">
        <v>6</v>
      </c>
      <c r="Q9" s="204">
        <v>2</v>
      </c>
      <c r="R9" s="209">
        <v>55</v>
      </c>
      <c r="S9" s="204">
        <v>2</v>
      </c>
      <c r="T9" s="210">
        <v>1</v>
      </c>
      <c r="U9" s="210"/>
      <c r="V9" s="210"/>
    </row>
    <row r="10" spans="1:22" s="231" customFormat="1" ht="15.75">
      <c r="A10" s="224" t="s">
        <v>4</v>
      </c>
      <c r="B10" s="226" t="s">
        <v>20</v>
      </c>
      <c r="C10" s="227">
        <v>393</v>
      </c>
      <c r="D10" s="227">
        <v>338</v>
      </c>
      <c r="E10" s="226"/>
      <c r="F10" s="226"/>
      <c r="G10" s="226"/>
      <c r="H10" s="251">
        <v>424</v>
      </c>
      <c r="I10" s="226">
        <v>393</v>
      </c>
      <c r="J10" s="226">
        <v>385</v>
      </c>
      <c r="K10" s="227"/>
      <c r="L10" s="249">
        <v>415</v>
      </c>
      <c r="M10" s="227"/>
      <c r="N10" s="227"/>
      <c r="O10" s="241">
        <f t="shared" si="0"/>
        <v>2348</v>
      </c>
      <c r="P10" s="224">
        <v>2</v>
      </c>
      <c r="Q10" s="224">
        <v>6</v>
      </c>
      <c r="R10" s="224">
        <v>-115</v>
      </c>
      <c r="S10" s="224">
        <v>0</v>
      </c>
      <c r="T10" s="230"/>
      <c r="U10" s="230"/>
      <c r="V10" s="230">
        <v>1</v>
      </c>
    </row>
    <row r="11" spans="1:22" s="211" customFormat="1" ht="15.75">
      <c r="A11" s="204" t="s">
        <v>5</v>
      </c>
      <c r="B11" s="206" t="s">
        <v>22</v>
      </c>
      <c r="C11" s="246">
        <v>416</v>
      </c>
      <c r="D11" s="205"/>
      <c r="E11" s="205"/>
      <c r="F11" s="205">
        <v>402</v>
      </c>
      <c r="G11" s="205"/>
      <c r="H11" s="246">
        <v>437</v>
      </c>
      <c r="I11" s="205">
        <v>402</v>
      </c>
      <c r="J11" s="205"/>
      <c r="K11" s="205"/>
      <c r="L11" s="205"/>
      <c r="M11" s="205">
        <v>355</v>
      </c>
      <c r="N11" s="246">
        <v>416</v>
      </c>
      <c r="O11" s="239">
        <f t="shared" si="0"/>
        <v>2428</v>
      </c>
      <c r="P11" s="204">
        <v>3</v>
      </c>
      <c r="Q11" s="204">
        <v>5</v>
      </c>
      <c r="R11" s="209">
        <v>-124</v>
      </c>
      <c r="S11" s="204">
        <v>0</v>
      </c>
      <c r="T11" s="210"/>
      <c r="U11" s="210"/>
      <c r="V11" s="210">
        <v>1</v>
      </c>
    </row>
    <row r="12" spans="1:22" s="231" customFormat="1" ht="15.75">
      <c r="A12" s="224" t="s">
        <v>6</v>
      </c>
      <c r="B12" s="226" t="s">
        <v>195</v>
      </c>
      <c r="C12" s="251">
        <v>458</v>
      </c>
      <c r="D12" s="226">
        <v>180</v>
      </c>
      <c r="E12" s="226"/>
      <c r="F12" s="226"/>
      <c r="G12" s="226"/>
      <c r="H12" s="251">
        <v>432</v>
      </c>
      <c r="I12" s="226">
        <v>411</v>
      </c>
      <c r="J12" s="226">
        <v>163</v>
      </c>
      <c r="K12" s="226"/>
      <c r="L12" s="226">
        <v>375</v>
      </c>
      <c r="M12" s="226"/>
      <c r="N12" s="226">
        <v>423</v>
      </c>
      <c r="O12" s="241">
        <f t="shared" si="0"/>
        <v>2442</v>
      </c>
      <c r="P12" s="224">
        <v>2</v>
      </c>
      <c r="Q12" s="224">
        <v>6</v>
      </c>
      <c r="R12" s="229">
        <v>-149</v>
      </c>
      <c r="S12" s="224">
        <v>0</v>
      </c>
      <c r="T12" s="230"/>
      <c r="U12" s="230"/>
      <c r="V12" s="230">
        <v>1</v>
      </c>
    </row>
    <row r="13" spans="1:22" s="211" customFormat="1" ht="15.75">
      <c r="A13" s="204" t="s">
        <v>7</v>
      </c>
      <c r="B13" s="205" t="s">
        <v>196</v>
      </c>
      <c r="C13" s="246">
        <v>421</v>
      </c>
      <c r="D13" s="205"/>
      <c r="E13" s="205">
        <v>416</v>
      </c>
      <c r="F13" s="205">
        <v>378</v>
      </c>
      <c r="G13" s="205"/>
      <c r="H13" s="205">
        <v>407</v>
      </c>
      <c r="I13" s="246">
        <v>440</v>
      </c>
      <c r="J13" s="205"/>
      <c r="K13" s="205"/>
      <c r="L13" s="205"/>
      <c r="M13" s="205"/>
      <c r="N13" s="246">
        <v>429</v>
      </c>
      <c r="O13" s="239">
        <f t="shared" si="0"/>
        <v>2491</v>
      </c>
      <c r="P13" s="204">
        <v>3</v>
      </c>
      <c r="Q13" s="204">
        <v>5</v>
      </c>
      <c r="R13" s="204">
        <v>-35</v>
      </c>
      <c r="S13" s="204">
        <v>0</v>
      </c>
      <c r="T13" s="210"/>
      <c r="U13" s="210"/>
      <c r="V13" s="210">
        <v>1</v>
      </c>
    </row>
    <row r="14" spans="1:22" s="231" customFormat="1" ht="15.75">
      <c r="A14" s="224" t="s">
        <v>8</v>
      </c>
      <c r="B14" s="226" t="s">
        <v>192</v>
      </c>
      <c r="C14" s="226">
        <v>430</v>
      </c>
      <c r="D14" s="226">
        <v>388</v>
      </c>
      <c r="E14" s="226"/>
      <c r="F14" s="226"/>
      <c r="G14" s="226"/>
      <c r="H14" s="226"/>
      <c r="I14" s="251">
        <v>453</v>
      </c>
      <c r="J14" s="226"/>
      <c r="K14" s="226"/>
      <c r="L14" s="226">
        <v>414</v>
      </c>
      <c r="M14" s="226">
        <v>377</v>
      </c>
      <c r="N14" s="251">
        <v>434</v>
      </c>
      <c r="O14" s="241">
        <f t="shared" si="0"/>
        <v>2496</v>
      </c>
      <c r="P14" s="224">
        <v>2</v>
      </c>
      <c r="Q14" s="224">
        <v>6</v>
      </c>
      <c r="R14" s="229">
        <v>-219</v>
      </c>
      <c r="S14" s="224">
        <v>0</v>
      </c>
      <c r="T14" s="230"/>
      <c r="U14" s="230"/>
      <c r="V14" s="230">
        <v>1</v>
      </c>
    </row>
    <row r="15" spans="1:22" s="211" customFormat="1" ht="15.75">
      <c r="A15" s="204" t="s">
        <v>9</v>
      </c>
      <c r="B15" s="205" t="s">
        <v>272</v>
      </c>
      <c r="C15" s="246">
        <v>402</v>
      </c>
      <c r="D15" s="205"/>
      <c r="E15" s="205"/>
      <c r="F15" s="205">
        <v>358</v>
      </c>
      <c r="G15" s="205"/>
      <c r="H15" s="246">
        <v>436</v>
      </c>
      <c r="I15" s="246">
        <v>418</v>
      </c>
      <c r="J15" s="205">
        <v>363</v>
      </c>
      <c r="K15" s="205"/>
      <c r="L15" s="205"/>
      <c r="M15" s="205"/>
      <c r="N15" s="246">
        <v>408</v>
      </c>
      <c r="O15" s="239">
        <f t="shared" si="0"/>
        <v>2385</v>
      </c>
      <c r="P15" s="204">
        <v>6</v>
      </c>
      <c r="Q15" s="204">
        <v>2</v>
      </c>
      <c r="R15" s="209">
        <v>15</v>
      </c>
      <c r="S15" s="204">
        <v>2</v>
      </c>
      <c r="T15" s="210">
        <v>1</v>
      </c>
      <c r="U15" s="210"/>
      <c r="V15" s="210"/>
    </row>
    <row r="16" spans="1:22" s="231" customFormat="1" ht="15.75">
      <c r="A16" s="224" t="s">
        <v>10</v>
      </c>
      <c r="B16" s="226" t="s">
        <v>19</v>
      </c>
      <c r="C16" s="226">
        <v>383</v>
      </c>
      <c r="D16" s="226">
        <v>368</v>
      </c>
      <c r="E16" s="226">
        <v>405</v>
      </c>
      <c r="F16" s="226"/>
      <c r="G16" s="226"/>
      <c r="H16" s="226"/>
      <c r="I16" s="251">
        <v>444</v>
      </c>
      <c r="J16" s="226"/>
      <c r="K16" s="226"/>
      <c r="L16" s="226">
        <v>385</v>
      </c>
      <c r="M16" s="226"/>
      <c r="N16" s="251">
        <v>419</v>
      </c>
      <c r="O16" s="241">
        <f t="shared" si="0"/>
        <v>2404</v>
      </c>
      <c r="P16" s="224">
        <v>2</v>
      </c>
      <c r="Q16" s="224">
        <v>6</v>
      </c>
      <c r="R16" s="229">
        <v>-101</v>
      </c>
      <c r="S16" s="224">
        <v>0</v>
      </c>
      <c r="T16" s="230"/>
      <c r="U16" s="230"/>
      <c r="V16" s="230">
        <v>1</v>
      </c>
    </row>
    <row r="17" spans="1:22" s="211" customFormat="1" ht="15.75">
      <c r="A17" s="204" t="s">
        <v>11</v>
      </c>
      <c r="B17" s="206" t="s">
        <v>18</v>
      </c>
      <c r="C17" s="205"/>
      <c r="D17" s="205"/>
      <c r="E17" s="205"/>
      <c r="F17" s="205"/>
      <c r="G17" s="205"/>
      <c r="H17" s="246">
        <v>461</v>
      </c>
      <c r="I17" s="246">
        <v>427</v>
      </c>
      <c r="J17" s="205">
        <v>390</v>
      </c>
      <c r="K17" s="205"/>
      <c r="L17" s="205">
        <v>362</v>
      </c>
      <c r="M17" s="205">
        <v>410</v>
      </c>
      <c r="N17" s="246">
        <v>441</v>
      </c>
      <c r="O17" s="239">
        <f t="shared" si="0"/>
        <v>2491</v>
      </c>
      <c r="P17" s="204">
        <v>3</v>
      </c>
      <c r="Q17" s="204">
        <v>5</v>
      </c>
      <c r="R17" s="204">
        <v>-60</v>
      </c>
      <c r="S17" s="204">
        <v>0</v>
      </c>
      <c r="T17" s="210"/>
      <c r="U17" s="210"/>
      <c r="V17" s="210">
        <v>1</v>
      </c>
    </row>
    <row r="18" spans="1:22" s="231" customFormat="1" ht="15.75">
      <c r="A18" s="224" t="s">
        <v>12</v>
      </c>
      <c r="B18" s="225" t="s">
        <v>17</v>
      </c>
      <c r="C18" s="226">
        <v>401</v>
      </c>
      <c r="D18" s="226">
        <v>358</v>
      </c>
      <c r="E18" s="226"/>
      <c r="F18" s="251">
        <v>413</v>
      </c>
      <c r="G18" s="226"/>
      <c r="H18" s="226"/>
      <c r="I18" s="226">
        <v>397</v>
      </c>
      <c r="J18" s="226"/>
      <c r="K18" s="226"/>
      <c r="L18" s="226"/>
      <c r="M18" s="226">
        <v>357</v>
      </c>
      <c r="N18" s="226">
        <v>390</v>
      </c>
      <c r="O18" s="241">
        <f t="shared" si="0"/>
        <v>2316</v>
      </c>
      <c r="P18" s="224">
        <v>1</v>
      </c>
      <c r="Q18" s="224">
        <v>7</v>
      </c>
      <c r="R18" s="229">
        <v>-334</v>
      </c>
      <c r="S18" s="224">
        <v>0</v>
      </c>
      <c r="T18" s="230"/>
      <c r="U18" s="230"/>
      <c r="V18" s="230">
        <v>1</v>
      </c>
    </row>
    <row r="19" spans="1:22" s="211" customFormat="1" ht="15.75">
      <c r="A19" s="204" t="s">
        <v>13</v>
      </c>
      <c r="B19" s="206" t="s">
        <v>193</v>
      </c>
      <c r="C19" s="205">
        <v>406</v>
      </c>
      <c r="D19" s="205">
        <v>401</v>
      </c>
      <c r="E19" s="205"/>
      <c r="F19" s="205">
        <v>371</v>
      </c>
      <c r="G19" s="205"/>
      <c r="H19" s="246">
        <v>435</v>
      </c>
      <c r="I19" s="246">
        <v>421</v>
      </c>
      <c r="J19" s="246">
        <v>416</v>
      </c>
      <c r="K19" s="205"/>
      <c r="L19" s="205"/>
      <c r="M19" s="205"/>
      <c r="N19" s="205"/>
      <c r="O19" s="239">
        <f t="shared" si="0"/>
        <v>2450</v>
      </c>
      <c r="P19" s="204">
        <v>5</v>
      </c>
      <c r="Q19" s="204">
        <v>3</v>
      </c>
      <c r="R19" s="209">
        <v>69</v>
      </c>
      <c r="S19" s="204">
        <v>2</v>
      </c>
      <c r="T19" s="210">
        <v>1</v>
      </c>
      <c r="U19" s="210"/>
      <c r="V19" s="210"/>
    </row>
    <row r="20" spans="1:22" s="47" customFormat="1" ht="15.75">
      <c r="A20" s="47" t="s">
        <v>14</v>
      </c>
      <c r="B20" s="47" t="s">
        <v>241</v>
      </c>
      <c r="C20" s="47">
        <v>413</v>
      </c>
      <c r="D20" s="47">
        <v>407</v>
      </c>
      <c r="E20" s="202">
        <v>430</v>
      </c>
      <c r="H20" s="47">
        <v>417</v>
      </c>
      <c r="I20" s="47">
        <v>400</v>
      </c>
      <c r="L20" s="47">
        <v>400</v>
      </c>
      <c r="O20" s="272">
        <f t="shared" si="0"/>
        <v>2467</v>
      </c>
      <c r="P20" s="47">
        <v>1</v>
      </c>
      <c r="Q20" s="47">
        <v>7</v>
      </c>
      <c r="R20" s="47">
        <v>-165</v>
      </c>
      <c r="S20" s="47">
        <v>0</v>
      </c>
      <c r="V20" s="47">
        <v>1</v>
      </c>
    </row>
    <row r="21" spans="1:22" s="146" customFormat="1" ht="15.75">
      <c r="A21" s="146" t="s">
        <v>239</v>
      </c>
      <c r="B21" s="149" t="s">
        <v>234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274" t="s">
        <v>234</v>
      </c>
      <c r="P21" s="176"/>
      <c r="Q21" s="176"/>
      <c r="R21" s="177"/>
      <c r="S21" s="176"/>
      <c r="T21" s="176"/>
      <c r="U21" s="176"/>
      <c r="V21" s="176"/>
    </row>
    <row r="22" spans="1:22" s="47" customFormat="1" ht="16.5" thickBot="1">
      <c r="A22" s="47" t="s">
        <v>240</v>
      </c>
      <c r="B22" s="35" t="s">
        <v>242</v>
      </c>
      <c r="C22" s="37">
        <v>402</v>
      </c>
      <c r="D22" s="37">
        <v>380</v>
      </c>
      <c r="E22" s="37"/>
      <c r="F22" s="37"/>
      <c r="G22" s="37"/>
      <c r="H22" s="37"/>
      <c r="I22" s="37">
        <v>385</v>
      </c>
      <c r="J22" s="167">
        <v>405</v>
      </c>
      <c r="K22" s="37"/>
      <c r="L22" s="37"/>
      <c r="M22" s="37">
        <v>363</v>
      </c>
      <c r="N22" s="37">
        <v>401</v>
      </c>
      <c r="O22" s="353">
        <f t="shared" si="0"/>
        <v>2336</v>
      </c>
      <c r="P22" s="280">
        <v>1</v>
      </c>
      <c r="Q22" s="280">
        <v>7</v>
      </c>
      <c r="R22" s="279">
        <v>-271</v>
      </c>
      <c r="S22" s="280">
        <v>0</v>
      </c>
      <c r="T22" s="280"/>
      <c r="U22" s="280"/>
      <c r="V22" s="280">
        <v>1</v>
      </c>
    </row>
    <row r="23" spans="3:22" ht="16.5" thickTop="1">
      <c r="C23" s="6">
        <f>SUM(C6:C22)</f>
        <v>5347</v>
      </c>
      <c r="D23" s="6">
        <f>SUM(D13:D22)+SUM(D6:D11)</f>
        <v>3832</v>
      </c>
      <c r="E23" s="6">
        <f>SUM(E6:E9)+SUM(E11:E22)</f>
        <v>1251</v>
      </c>
      <c r="F23" s="6">
        <f>SUM(F10:F22)+SUM(F6:F8)</f>
        <v>2707</v>
      </c>
      <c r="G23" s="6">
        <f>SUM(G6:G22)</f>
        <v>0</v>
      </c>
      <c r="H23" s="6">
        <f>SUM(H6:H22)</f>
        <v>4357</v>
      </c>
      <c r="I23" s="6">
        <f>SUM(I6:I22)</f>
        <v>6707</v>
      </c>
      <c r="J23" s="6">
        <f>SUM(J13:J22)+SUM(J6:J11)</f>
        <v>2710</v>
      </c>
      <c r="K23" s="6">
        <f>SUM(K6:K22)</f>
        <v>0</v>
      </c>
      <c r="L23" s="6">
        <f>SUM(L6:L11)+SUM(L12:L22)</f>
        <v>3122</v>
      </c>
      <c r="M23" s="6">
        <f>SUM(M10:M22)+SUM(M6:M8)</f>
        <v>2629</v>
      </c>
      <c r="N23" s="6">
        <f>SUM(N6:N10)+SUM(N11:N22)</f>
        <v>5455</v>
      </c>
      <c r="T23" s="2">
        <f>SUM(T6:T22)</f>
        <v>3</v>
      </c>
      <c r="U23" s="2">
        <f>SUM(U6:U22)</f>
        <v>0</v>
      </c>
      <c r="V23" s="2">
        <f>SUM(V6:V22)</f>
        <v>13</v>
      </c>
    </row>
    <row r="24" spans="2:14" ht="15.75">
      <c r="B24" s="1" t="s">
        <v>211</v>
      </c>
      <c r="C24" s="6">
        <f>COUNT(C6:C22)</f>
        <v>13</v>
      </c>
      <c r="D24" s="6">
        <f>COUNT(D13:D22)+COUNT(D6:D11)</f>
        <v>10</v>
      </c>
      <c r="E24" s="6">
        <f>COUNT(E6:E9)+COUNT(E11:E22)</f>
        <v>3</v>
      </c>
      <c r="F24" s="6">
        <f>COUNT(F10:F22)+COUNT(F6:F8)</f>
        <v>7</v>
      </c>
      <c r="G24" s="6">
        <f>COUNT(G6:G22)</f>
        <v>0</v>
      </c>
      <c r="H24" s="6">
        <f>COUNT(H6:H22)</f>
        <v>10</v>
      </c>
      <c r="I24" s="6">
        <f>COUNT(I6:I22)</f>
        <v>16</v>
      </c>
      <c r="J24" s="6">
        <f>COUNT(J13:J22)+COUNT(J6:J11)</f>
        <v>7</v>
      </c>
      <c r="K24" s="6">
        <f>COUNT(K6:K22)</f>
        <v>0</v>
      </c>
      <c r="L24" s="6">
        <f>COUNT(L6:L11)+COUNT(L12:L22)</f>
        <v>8</v>
      </c>
      <c r="M24" s="6">
        <f>COUNT(M10:M22)+COUNT(M6:M8)</f>
        <v>7</v>
      </c>
      <c r="N24" s="6">
        <f>COUNT(N6:N10)+COUNT(N11:N22)</f>
        <v>13</v>
      </c>
    </row>
    <row r="25" spans="2:22" ht="31.5">
      <c r="B25" s="11" t="s">
        <v>119</v>
      </c>
      <c r="C25" s="16">
        <f>AVERAGE(C6:C22)</f>
        <v>411.3076923076923</v>
      </c>
      <c r="D25" s="16">
        <f>D23/D24</f>
        <v>383.2</v>
      </c>
      <c r="E25" s="16">
        <f>E23/E24</f>
        <v>417</v>
      </c>
      <c r="F25" s="16">
        <f>F23/F24</f>
        <v>386.7142857142857</v>
      </c>
      <c r="G25" s="16"/>
      <c r="H25" s="16">
        <f>AVERAGE(H6:H22)</f>
        <v>435.7</v>
      </c>
      <c r="I25" s="16">
        <f>AVERAGE(I6:I22)</f>
        <v>419.1875</v>
      </c>
      <c r="J25" s="16">
        <f>J23/J24</f>
        <v>387.14285714285717</v>
      </c>
      <c r="K25" s="16"/>
      <c r="L25" s="16">
        <f>L23/L24</f>
        <v>390.25</v>
      </c>
      <c r="M25" s="16">
        <f>M23/M24</f>
        <v>375.57142857142856</v>
      </c>
      <c r="N25" s="16">
        <f>N23/N24</f>
        <v>419.61538461538464</v>
      </c>
      <c r="O25" s="3" t="s">
        <v>29</v>
      </c>
      <c r="P25" s="461" t="s">
        <v>109</v>
      </c>
      <c r="Q25" s="461"/>
      <c r="R25" s="3" t="s">
        <v>30</v>
      </c>
      <c r="S25" s="10" t="s">
        <v>110</v>
      </c>
      <c r="U25" s="63" t="s">
        <v>118</v>
      </c>
      <c r="V25" s="63" t="s">
        <v>209</v>
      </c>
    </row>
    <row r="26" spans="15:22" ht="15.75">
      <c r="O26" s="6">
        <f>SUM(O6:O22)</f>
        <v>38838</v>
      </c>
      <c r="P26" s="1">
        <f>SUM(P6:P22)</f>
        <v>44</v>
      </c>
      <c r="Q26" s="1">
        <f>SUM(Q6:Q22)</f>
        <v>84</v>
      </c>
      <c r="R26" s="1">
        <f>SUM(R6:R22)</f>
        <v>-1695</v>
      </c>
      <c r="S26" s="1">
        <f>SUM(S6:S22)</f>
        <v>6</v>
      </c>
      <c r="U26" s="2">
        <f>P26-Q26</f>
        <v>-40</v>
      </c>
      <c r="V26" s="2">
        <f>SUM(T23:V23)</f>
        <v>16</v>
      </c>
    </row>
    <row r="28" spans="3:12" ht="15.75">
      <c r="C28" s="463" t="s">
        <v>37</v>
      </c>
      <c r="D28" s="463"/>
      <c r="F28" s="458" t="s">
        <v>124</v>
      </c>
      <c r="G28" s="458"/>
      <c r="H28" s="458"/>
      <c r="I28" s="458"/>
      <c r="K28" s="462" t="s">
        <v>125</v>
      </c>
      <c r="L28" s="462"/>
    </row>
    <row r="29" spans="1:22" ht="16.5" thickBo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123"/>
      <c r="U29" s="123"/>
      <c r="V29" s="123"/>
    </row>
    <row r="30" spans="6:10" ht="15.75">
      <c r="F30" s="40"/>
      <c r="G30" s="40"/>
      <c r="H30" s="40"/>
      <c r="I30" s="40"/>
      <c r="J30" s="40"/>
    </row>
    <row r="31" spans="2:22" ht="44.25" customHeight="1" thickBot="1">
      <c r="B31" s="3" t="s">
        <v>24</v>
      </c>
      <c r="C31" s="8" t="s">
        <v>82</v>
      </c>
      <c r="D31" s="8" t="s">
        <v>83</v>
      </c>
      <c r="E31" s="8" t="s">
        <v>84</v>
      </c>
      <c r="F31" s="8" t="s">
        <v>248</v>
      </c>
      <c r="G31" s="120" t="s">
        <v>273</v>
      </c>
      <c r="H31" s="180" t="s">
        <v>274</v>
      </c>
      <c r="I31" s="8" t="s">
        <v>187</v>
      </c>
      <c r="J31" s="8" t="s">
        <v>97</v>
      </c>
      <c r="K31" s="8" t="s">
        <v>96</v>
      </c>
      <c r="L31" s="8" t="s">
        <v>121</v>
      </c>
      <c r="M31" s="8" t="s">
        <v>184</v>
      </c>
      <c r="N31" s="8" t="s">
        <v>249</v>
      </c>
      <c r="O31" s="11" t="s">
        <v>29</v>
      </c>
      <c r="P31" s="11" t="s">
        <v>21</v>
      </c>
      <c r="Q31" s="11" t="s">
        <v>28</v>
      </c>
      <c r="R31" s="11" t="s">
        <v>30</v>
      </c>
      <c r="S31" s="10" t="s">
        <v>108</v>
      </c>
      <c r="T31" s="2" t="s">
        <v>174</v>
      </c>
      <c r="U31" s="2" t="s">
        <v>175</v>
      </c>
      <c r="V31" s="2" t="s">
        <v>176</v>
      </c>
    </row>
    <row r="32" spans="1:25" s="106" customFormat="1" ht="15.75">
      <c r="A32" s="19" t="s">
        <v>145</v>
      </c>
      <c r="B32" s="34" t="s">
        <v>192</v>
      </c>
      <c r="C32" s="250">
        <v>443</v>
      </c>
      <c r="D32" s="34"/>
      <c r="E32" s="34">
        <v>382</v>
      </c>
      <c r="F32" s="34">
        <v>369</v>
      </c>
      <c r="G32" s="34"/>
      <c r="H32" s="250">
        <v>446</v>
      </c>
      <c r="I32" s="34"/>
      <c r="J32" s="250">
        <v>424</v>
      </c>
      <c r="K32" s="34"/>
      <c r="L32" s="34"/>
      <c r="M32" s="34"/>
      <c r="N32" s="172">
        <v>412</v>
      </c>
      <c r="O32" s="103">
        <f>SUM(C32:N32)</f>
        <v>2476</v>
      </c>
      <c r="P32" s="141">
        <v>3</v>
      </c>
      <c r="Q32" s="141">
        <v>5</v>
      </c>
      <c r="R32" s="141">
        <v>-7</v>
      </c>
      <c r="S32" s="141">
        <v>0</v>
      </c>
      <c r="T32" s="142"/>
      <c r="U32" s="142"/>
      <c r="V32" s="142">
        <v>1</v>
      </c>
      <c r="W32" s="142"/>
      <c r="X32" s="142"/>
      <c r="Y32" s="142"/>
    </row>
    <row r="33" spans="1:25" s="231" customFormat="1" ht="15.75">
      <c r="A33" s="25" t="s">
        <v>146</v>
      </c>
      <c r="B33" s="35" t="s">
        <v>272</v>
      </c>
      <c r="C33" s="202">
        <v>418</v>
      </c>
      <c r="D33" s="35">
        <v>388</v>
      </c>
      <c r="E33" s="35"/>
      <c r="F33" s="35"/>
      <c r="G33" s="35"/>
      <c r="H33" s="202">
        <v>455</v>
      </c>
      <c r="I33" s="202">
        <v>432</v>
      </c>
      <c r="J33" s="35"/>
      <c r="K33" s="35"/>
      <c r="L33" s="35">
        <v>377</v>
      </c>
      <c r="M33" s="35"/>
      <c r="N33" s="33">
        <v>383</v>
      </c>
      <c r="O33" s="193">
        <f aca="true" t="shared" si="1" ref="O33:O48">SUM(C33:N33)</f>
        <v>2453</v>
      </c>
      <c r="P33" s="158">
        <v>3</v>
      </c>
      <c r="Q33" s="158">
        <v>5</v>
      </c>
      <c r="R33" s="158">
        <v>-12</v>
      </c>
      <c r="S33" s="158">
        <v>0</v>
      </c>
      <c r="T33" s="380"/>
      <c r="U33" s="380"/>
      <c r="V33" s="380">
        <v>1</v>
      </c>
      <c r="W33" s="380"/>
      <c r="X33" s="380"/>
      <c r="Y33" s="380"/>
    </row>
    <row r="34" spans="1:25" s="23" customFormat="1" ht="15.75">
      <c r="A34" s="204" t="s">
        <v>147</v>
      </c>
      <c r="B34" s="205" t="s">
        <v>19</v>
      </c>
      <c r="C34" s="102">
        <v>409</v>
      </c>
      <c r="D34" s="34"/>
      <c r="E34" s="34">
        <v>380</v>
      </c>
      <c r="F34" s="34"/>
      <c r="G34" s="34"/>
      <c r="H34" s="34">
        <v>406</v>
      </c>
      <c r="I34" s="250">
        <v>441</v>
      </c>
      <c r="J34" s="34">
        <v>387</v>
      </c>
      <c r="K34" s="34"/>
      <c r="L34" s="34"/>
      <c r="M34" s="34"/>
      <c r="N34" s="30">
        <v>415</v>
      </c>
      <c r="O34" s="19">
        <f t="shared" si="1"/>
        <v>2438</v>
      </c>
      <c r="P34" s="29">
        <v>1</v>
      </c>
      <c r="Q34" s="29">
        <v>7</v>
      </c>
      <c r="R34" s="29">
        <v>-126</v>
      </c>
      <c r="S34" s="29">
        <v>0</v>
      </c>
      <c r="T34" s="144"/>
      <c r="U34" s="144"/>
      <c r="V34" s="144">
        <v>1</v>
      </c>
      <c r="W34" s="144"/>
      <c r="X34" s="144"/>
      <c r="Y34" s="144"/>
    </row>
    <row r="35" spans="1:25" s="231" customFormat="1" ht="15.75">
      <c r="A35" s="25" t="s">
        <v>148</v>
      </c>
      <c r="B35" s="47" t="s">
        <v>18</v>
      </c>
      <c r="C35" s="47">
        <v>405</v>
      </c>
      <c r="D35" s="35">
        <v>407</v>
      </c>
      <c r="E35" s="35"/>
      <c r="F35" s="35">
        <v>381</v>
      </c>
      <c r="G35" s="35"/>
      <c r="H35" s="35"/>
      <c r="I35" s="35">
        <v>421</v>
      </c>
      <c r="J35" s="35"/>
      <c r="K35" s="35"/>
      <c r="L35" s="35"/>
      <c r="M35" s="35">
        <v>354</v>
      </c>
      <c r="N35" s="326">
        <v>426</v>
      </c>
      <c r="O35" s="193">
        <f t="shared" si="1"/>
        <v>2394</v>
      </c>
      <c r="P35" s="158">
        <v>1</v>
      </c>
      <c r="Q35" s="158">
        <v>7</v>
      </c>
      <c r="R35" s="158">
        <v>-314</v>
      </c>
      <c r="S35" s="158">
        <v>0</v>
      </c>
      <c r="T35" s="380"/>
      <c r="U35" s="380"/>
      <c r="V35" s="380">
        <v>1</v>
      </c>
      <c r="W35" s="380"/>
      <c r="X35" s="380"/>
      <c r="Y35" s="380"/>
    </row>
    <row r="36" spans="1:25" s="211" customFormat="1" ht="15.75">
      <c r="A36" s="83" t="s">
        <v>149</v>
      </c>
      <c r="B36" s="96" t="s">
        <v>17</v>
      </c>
      <c r="C36" s="250">
        <v>449</v>
      </c>
      <c r="D36" s="34">
        <v>375</v>
      </c>
      <c r="E36" s="34"/>
      <c r="F36" s="34"/>
      <c r="G36" s="34"/>
      <c r="H36" s="250">
        <v>443</v>
      </c>
      <c r="I36" s="34">
        <v>437</v>
      </c>
      <c r="J36" s="34"/>
      <c r="K36" s="34"/>
      <c r="L36" s="34">
        <v>408</v>
      </c>
      <c r="M36" s="34"/>
      <c r="N36" s="30">
        <v>428</v>
      </c>
      <c r="O36" s="204">
        <f t="shared" si="1"/>
        <v>2540</v>
      </c>
      <c r="P36" s="360">
        <v>2</v>
      </c>
      <c r="Q36" s="360">
        <v>6</v>
      </c>
      <c r="R36" s="360">
        <v>-74</v>
      </c>
      <c r="S36" s="360">
        <v>0</v>
      </c>
      <c r="T36" s="371"/>
      <c r="U36" s="371"/>
      <c r="V36" s="371">
        <v>1</v>
      </c>
      <c r="W36" s="371"/>
      <c r="X36" s="371"/>
      <c r="Y36" s="371"/>
    </row>
    <row r="37" spans="1:25" s="231" customFormat="1" ht="15.75">
      <c r="A37" s="25" t="s">
        <v>150</v>
      </c>
      <c r="B37" s="47" t="s">
        <v>193</v>
      </c>
      <c r="C37" s="202">
        <v>414</v>
      </c>
      <c r="D37" s="35"/>
      <c r="E37" s="35">
        <v>373</v>
      </c>
      <c r="F37" s="35"/>
      <c r="G37" s="35"/>
      <c r="H37" s="202">
        <v>429</v>
      </c>
      <c r="I37" s="202">
        <v>411</v>
      </c>
      <c r="J37" s="35">
        <v>401</v>
      </c>
      <c r="K37" s="35"/>
      <c r="L37" s="35"/>
      <c r="M37" s="35"/>
      <c r="N37" s="326">
        <v>406</v>
      </c>
      <c r="O37" s="193">
        <f t="shared" si="1"/>
        <v>2434</v>
      </c>
      <c r="P37" s="158">
        <v>4</v>
      </c>
      <c r="Q37" s="158">
        <v>4</v>
      </c>
      <c r="R37" s="158">
        <v>-13</v>
      </c>
      <c r="S37" s="158">
        <v>1</v>
      </c>
      <c r="T37" s="380"/>
      <c r="U37" s="380">
        <v>1</v>
      </c>
      <c r="V37" s="380"/>
      <c r="W37" s="380"/>
      <c r="X37" s="380"/>
      <c r="Y37" s="380"/>
    </row>
    <row r="38" spans="1:25" s="106" customFormat="1" ht="15.75">
      <c r="A38" s="19" t="s">
        <v>151</v>
      </c>
      <c r="B38" s="102" t="s">
        <v>241</v>
      </c>
      <c r="C38" s="102">
        <v>414</v>
      </c>
      <c r="D38" s="34">
        <v>398</v>
      </c>
      <c r="E38" s="34"/>
      <c r="F38" s="34">
        <v>392</v>
      </c>
      <c r="G38" s="34"/>
      <c r="H38" s="250">
        <v>434</v>
      </c>
      <c r="I38" s="34"/>
      <c r="J38" s="250">
        <v>429</v>
      </c>
      <c r="K38" s="34"/>
      <c r="L38" s="34"/>
      <c r="M38" s="34">
        <v>412</v>
      </c>
      <c r="N38" s="30"/>
      <c r="O38" s="103">
        <f t="shared" si="1"/>
        <v>2479</v>
      </c>
      <c r="P38" s="141">
        <v>2</v>
      </c>
      <c r="Q38" s="141">
        <v>6</v>
      </c>
      <c r="R38" s="141">
        <v>-62</v>
      </c>
      <c r="S38" s="141">
        <v>0</v>
      </c>
      <c r="T38" s="142"/>
      <c r="U38" s="142"/>
      <c r="V38" s="142">
        <v>1</v>
      </c>
      <c r="W38" s="142"/>
      <c r="X38" s="142"/>
      <c r="Y38" s="142"/>
    </row>
    <row r="39" spans="1:25" s="223" customFormat="1" ht="15.75">
      <c r="A39" s="145" t="s">
        <v>152</v>
      </c>
      <c r="B39" s="149" t="s">
        <v>234</v>
      </c>
      <c r="C39" s="176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4"/>
      <c r="O39" s="378" t="s">
        <v>234</v>
      </c>
      <c r="P39" s="376"/>
      <c r="Q39" s="376"/>
      <c r="R39" s="376"/>
      <c r="S39" s="376"/>
      <c r="T39" s="397"/>
      <c r="U39" s="397"/>
      <c r="V39" s="397"/>
      <c r="W39" s="397"/>
      <c r="X39" s="397"/>
      <c r="Y39" s="397"/>
    </row>
    <row r="40" spans="1:25" s="23" customFormat="1" ht="15.75">
      <c r="A40" s="204" t="s">
        <v>153</v>
      </c>
      <c r="B40" s="205" t="s">
        <v>242</v>
      </c>
      <c r="C40" s="250">
        <v>417</v>
      </c>
      <c r="D40" s="34"/>
      <c r="E40" s="34"/>
      <c r="F40" s="34"/>
      <c r="G40" s="34"/>
      <c r="H40" s="34">
        <v>412</v>
      </c>
      <c r="I40" s="34">
        <v>415</v>
      </c>
      <c r="J40" s="34">
        <v>398</v>
      </c>
      <c r="K40" s="34"/>
      <c r="L40" s="34"/>
      <c r="M40" s="34">
        <v>411</v>
      </c>
      <c r="N40" s="275">
        <v>417</v>
      </c>
      <c r="O40" s="19">
        <f t="shared" si="1"/>
        <v>2470</v>
      </c>
      <c r="P40" s="29">
        <v>2</v>
      </c>
      <c r="Q40" s="29">
        <v>6</v>
      </c>
      <c r="R40" s="29">
        <v>-125</v>
      </c>
      <c r="S40" s="29">
        <v>0</v>
      </c>
      <c r="T40" s="144"/>
      <c r="U40" s="144"/>
      <c r="V40" s="144">
        <v>1</v>
      </c>
      <c r="W40" s="144"/>
      <c r="X40" s="144"/>
      <c r="Y40" s="144"/>
    </row>
    <row r="41" spans="1:25" s="231" customFormat="1" ht="15.75">
      <c r="A41" s="25" t="s">
        <v>154</v>
      </c>
      <c r="B41" s="47" t="s">
        <v>194</v>
      </c>
      <c r="C41" s="47"/>
      <c r="D41" s="35">
        <v>410</v>
      </c>
      <c r="E41" s="35"/>
      <c r="F41" s="35">
        <v>358</v>
      </c>
      <c r="G41" s="35"/>
      <c r="H41" s="35"/>
      <c r="I41" s="202">
        <v>440</v>
      </c>
      <c r="J41" s="35"/>
      <c r="K41" s="35"/>
      <c r="L41" s="35">
        <v>433</v>
      </c>
      <c r="M41" s="35">
        <v>350</v>
      </c>
      <c r="N41" s="33">
        <v>418</v>
      </c>
      <c r="O41" s="193">
        <f t="shared" si="1"/>
        <v>2409</v>
      </c>
      <c r="P41" s="158">
        <v>1</v>
      </c>
      <c r="Q41" s="158">
        <v>7</v>
      </c>
      <c r="R41" s="158">
        <v>-233</v>
      </c>
      <c r="S41" s="158">
        <v>0</v>
      </c>
      <c r="T41" s="380"/>
      <c r="U41" s="380"/>
      <c r="V41" s="380">
        <v>1</v>
      </c>
      <c r="W41" s="380"/>
      <c r="X41" s="380"/>
      <c r="Y41" s="380"/>
    </row>
    <row r="42" spans="1:25" s="211" customFormat="1" ht="16.5" customHeight="1">
      <c r="A42" s="83" t="s">
        <v>155</v>
      </c>
      <c r="B42" s="99" t="s">
        <v>238</v>
      </c>
      <c r="C42" s="250">
        <v>433</v>
      </c>
      <c r="D42" s="250">
        <v>413</v>
      </c>
      <c r="E42" s="34"/>
      <c r="F42" s="34"/>
      <c r="G42" s="34"/>
      <c r="H42" s="250">
        <v>442</v>
      </c>
      <c r="I42" s="250">
        <v>419</v>
      </c>
      <c r="J42" s="34"/>
      <c r="K42" s="34"/>
      <c r="L42" s="34">
        <v>392</v>
      </c>
      <c r="M42" s="34"/>
      <c r="N42" s="30">
        <v>402</v>
      </c>
      <c r="O42" s="204">
        <f t="shared" si="1"/>
        <v>2501</v>
      </c>
      <c r="P42" s="360">
        <v>6</v>
      </c>
      <c r="Q42" s="360">
        <v>2</v>
      </c>
      <c r="R42" s="360">
        <v>148</v>
      </c>
      <c r="S42" s="360">
        <v>2</v>
      </c>
      <c r="T42" s="371">
        <v>1</v>
      </c>
      <c r="U42" s="371"/>
      <c r="V42" s="371"/>
      <c r="W42" s="371"/>
      <c r="X42" s="371"/>
      <c r="Y42" s="371"/>
    </row>
    <row r="43" spans="1:25" s="231" customFormat="1" ht="15.75">
      <c r="A43" s="25" t="s">
        <v>156</v>
      </c>
      <c r="B43" s="47" t="s">
        <v>15</v>
      </c>
      <c r="C43" s="47">
        <v>429</v>
      </c>
      <c r="D43" s="35">
        <v>407</v>
      </c>
      <c r="E43" s="35"/>
      <c r="F43" s="35">
        <v>217</v>
      </c>
      <c r="G43" s="35"/>
      <c r="H43" s="35"/>
      <c r="I43" s="35">
        <v>405</v>
      </c>
      <c r="J43" s="35">
        <v>176</v>
      </c>
      <c r="K43" s="35"/>
      <c r="L43" s="202">
        <v>429</v>
      </c>
      <c r="M43" s="35"/>
      <c r="N43" s="326">
        <v>463</v>
      </c>
      <c r="O43" s="193">
        <f t="shared" si="1"/>
        <v>2526</v>
      </c>
      <c r="P43" s="158">
        <v>2</v>
      </c>
      <c r="Q43" s="158">
        <v>6</v>
      </c>
      <c r="R43" s="158">
        <v>-68</v>
      </c>
      <c r="S43" s="158">
        <v>0</v>
      </c>
      <c r="T43" s="380"/>
      <c r="U43" s="380"/>
      <c r="V43" s="380">
        <v>1</v>
      </c>
      <c r="W43" s="380"/>
      <c r="X43" s="380"/>
      <c r="Y43" s="380"/>
    </row>
    <row r="44" spans="1:25" s="231" customFormat="1" ht="15.75">
      <c r="A44" s="25" t="s">
        <v>157</v>
      </c>
      <c r="B44" s="35" t="s">
        <v>25</v>
      </c>
      <c r="C44" s="47">
        <v>407</v>
      </c>
      <c r="D44" s="35">
        <v>387</v>
      </c>
      <c r="E44" s="35"/>
      <c r="F44" s="35">
        <v>399</v>
      </c>
      <c r="G44" s="35"/>
      <c r="H44" s="35"/>
      <c r="I44" s="202">
        <v>446</v>
      </c>
      <c r="J44" s="35"/>
      <c r="K44" s="35"/>
      <c r="L44" s="35">
        <v>420</v>
      </c>
      <c r="M44" s="35"/>
      <c r="N44" s="326">
        <v>447</v>
      </c>
      <c r="O44" s="193">
        <f t="shared" si="1"/>
        <v>2506</v>
      </c>
      <c r="P44" s="158">
        <v>2</v>
      </c>
      <c r="Q44" s="158">
        <v>6</v>
      </c>
      <c r="R44" s="158">
        <v>-202</v>
      </c>
      <c r="S44" s="158">
        <v>0</v>
      </c>
      <c r="T44" s="380"/>
      <c r="U44" s="380"/>
      <c r="V44" s="380">
        <v>1</v>
      </c>
      <c r="W44" s="380"/>
      <c r="X44" s="380"/>
      <c r="Y44" s="380"/>
    </row>
    <row r="45" spans="1:25" s="106" customFormat="1" ht="15.75">
      <c r="A45" s="19" t="s">
        <v>243</v>
      </c>
      <c r="B45" s="34" t="s">
        <v>20</v>
      </c>
      <c r="C45" s="250">
        <v>422</v>
      </c>
      <c r="D45" s="34"/>
      <c r="E45" s="34"/>
      <c r="F45" s="34">
        <v>208</v>
      </c>
      <c r="G45" s="34"/>
      <c r="H45" s="34"/>
      <c r="I45" s="34">
        <v>407</v>
      </c>
      <c r="J45" s="34">
        <v>185</v>
      </c>
      <c r="K45" s="34"/>
      <c r="L45" s="34">
        <v>376</v>
      </c>
      <c r="M45" s="34">
        <v>408</v>
      </c>
      <c r="N45" s="275">
        <v>430</v>
      </c>
      <c r="O45" s="103">
        <f t="shared" si="1"/>
        <v>2436</v>
      </c>
      <c r="P45" s="141">
        <v>2</v>
      </c>
      <c r="Q45" s="141">
        <v>6</v>
      </c>
      <c r="R45" s="141">
        <v>-139</v>
      </c>
      <c r="S45" s="141">
        <v>0</v>
      </c>
      <c r="T45" s="142"/>
      <c r="U45" s="142"/>
      <c r="V45" s="142">
        <v>1</v>
      </c>
      <c r="W45" s="142"/>
      <c r="X45" s="142"/>
      <c r="Y45" s="142"/>
    </row>
    <row r="46" spans="1:25" s="231" customFormat="1" ht="15.75">
      <c r="A46" s="25" t="s">
        <v>244</v>
      </c>
      <c r="B46" s="47" t="s">
        <v>22</v>
      </c>
      <c r="C46" s="47">
        <v>408</v>
      </c>
      <c r="D46" s="35"/>
      <c r="E46" s="35"/>
      <c r="F46" s="35">
        <v>416</v>
      </c>
      <c r="G46" s="35"/>
      <c r="H46" s="202">
        <v>477</v>
      </c>
      <c r="I46" s="35">
        <v>415</v>
      </c>
      <c r="J46" s="35"/>
      <c r="K46" s="35"/>
      <c r="L46" s="35"/>
      <c r="M46" s="35">
        <v>411</v>
      </c>
      <c r="N46" s="326">
        <v>453</v>
      </c>
      <c r="O46" s="193">
        <f t="shared" si="1"/>
        <v>2580</v>
      </c>
      <c r="P46" s="158">
        <v>4</v>
      </c>
      <c r="Q46" s="158">
        <v>4</v>
      </c>
      <c r="R46" s="158">
        <v>19</v>
      </c>
      <c r="S46" s="158">
        <v>1</v>
      </c>
      <c r="T46" s="380"/>
      <c r="U46" s="380">
        <v>1</v>
      </c>
      <c r="V46" s="380"/>
      <c r="W46" s="380"/>
      <c r="X46" s="380"/>
      <c r="Y46" s="380"/>
    </row>
    <row r="47" spans="1:25" s="23" customFormat="1" ht="15.75">
      <c r="A47" s="204" t="s">
        <v>266</v>
      </c>
      <c r="B47" s="205" t="s">
        <v>195</v>
      </c>
      <c r="C47" s="102"/>
      <c r="D47" s="250">
        <v>429</v>
      </c>
      <c r="E47" s="34"/>
      <c r="F47" s="34">
        <v>403</v>
      </c>
      <c r="G47" s="34"/>
      <c r="H47" s="34"/>
      <c r="I47" s="34">
        <v>403</v>
      </c>
      <c r="J47" s="34"/>
      <c r="K47" s="34"/>
      <c r="L47" s="34">
        <v>393</v>
      </c>
      <c r="M47" s="34">
        <v>397</v>
      </c>
      <c r="N47" s="275">
        <v>419</v>
      </c>
      <c r="O47" s="19">
        <f t="shared" si="1"/>
        <v>2444</v>
      </c>
      <c r="P47" s="29">
        <v>2</v>
      </c>
      <c r="Q47" s="29">
        <v>6</v>
      </c>
      <c r="R47" s="29">
        <f>2444-2526</f>
        <v>-82</v>
      </c>
      <c r="S47" s="29">
        <v>0</v>
      </c>
      <c r="T47" s="144"/>
      <c r="U47" s="144"/>
      <c r="V47" s="144">
        <v>1</v>
      </c>
      <c r="W47" s="144"/>
      <c r="X47" s="144"/>
      <c r="Y47" s="144"/>
    </row>
    <row r="48" spans="1:22" s="380" customFormat="1" ht="16.5" thickBot="1">
      <c r="A48" s="28" t="s">
        <v>267</v>
      </c>
      <c r="B48" s="35" t="s">
        <v>196</v>
      </c>
      <c r="C48" s="35">
        <v>399</v>
      </c>
      <c r="D48" s="35"/>
      <c r="E48" s="35"/>
      <c r="F48" s="35">
        <v>375</v>
      </c>
      <c r="G48" s="35"/>
      <c r="H48" s="35">
        <v>402</v>
      </c>
      <c r="I48" s="35">
        <v>390</v>
      </c>
      <c r="J48" s="35">
        <v>378</v>
      </c>
      <c r="K48" s="35"/>
      <c r="L48" s="35"/>
      <c r="M48" s="35"/>
      <c r="N48" s="31">
        <v>424</v>
      </c>
      <c r="O48" s="451">
        <f t="shared" si="1"/>
        <v>2368</v>
      </c>
      <c r="P48" s="450">
        <v>3</v>
      </c>
      <c r="Q48" s="390">
        <v>5</v>
      </c>
      <c r="R48" s="390">
        <v>-66</v>
      </c>
      <c r="S48" s="390">
        <v>0</v>
      </c>
      <c r="T48" s="392"/>
      <c r="U48" s="392"/>
      <c r="V48" s="392">
        <v>1</v>
      </c>
    </row>
    <row r="49" spans="3:22" ht="16.5" thickTop="1">
      <c r="C49" s="54">
        <f aca="true" t="shared" si="2" ref="C49:N49">SUM(C32:C48)</f>
        <v>5867</v>
      </c>
      <c r="D49" s="54">
        <f t="shared" si="2"/>
        <v>3614</v>
      </c>
      <c r="E49" s="54">
        <f t="shared" si="2"/>
        <v>1135</v>
      </c>
      <c r="F49" s="54">
        <f>SUM(F32:F42)+SUM(F46:F48)+F44</f>
        <v>3093</v>
      </c>
      <c r="G49" s="54">
        <f>SUM(G32:G48)</f>
        <v>0</v>
      </c>
      <c r="H49" s="54">
        <f>SUM(H32:H48)</f>
        <v>4346</v>
      </c>
      <c r="I49" s="54">
        <f t="shared" si="2"/>
        <v>5882</v>
      </c>
      <c r="J49" s="54">
        <f>SUM(J32:J42)+SUM(J46:J48)</f>
        <v>2417</v>
      </c>
      <c r="K49" s="54">
        <f t="shared" si="2"/>
        <v>0</v>
      </c>
      <c r="L49" s="54">
        <f>SUM(L33:L45)+L32+SUM(L46:L48)</f>
        <v>3228</v>
      </c>
      <c r="M49" s="54">
        <f>SUM(M34:M48)</f>
        <v>2743</v>
      </c>
      <c r="N49" s="54">
        <f t="shared" si="2"/>
        <v>6343</v>
      </c>
      <c r="P49" s="1">
        <f>SUM(P32:P48)</f>
        <v>40</v>
      </c>
      <c r="Q49" s="1">
        <f>SUM(Q32:Q48)</f>
        <v>88</v>
      </c>
      <c r="R49" s="1">
        <f>SUM(R32:R48)</f>
        <v>-1356</v>
      </c>
      <c r="S49" s="1">
        <f>SUM(S32:S48)</f>
        <v>4</v>
      </c>
      <c r="T49" s="1">
        <f>SUM(T32:T48)+T23</f>
        <v>4</v>
      </c>
      <c r="U49" s="1">
        <f>SUM(U32:U48)+U23</f>
        <v>2</v>
      </c>
      <c r="V49" s="1">
        <f>SUM(V32:V48)+V23</f>
        <v>26</v>
      </c>
    </row>
    <row r="50" spans="2:14" ht="15.75">
      <c r="B50" s="57" t="s">
        <v>231</v>
      </c>
      <c r="C50" s="1">
        <f aca="true" t="shared" si="3" ref="C50:N50">COUNT(C32:C48)</f>
        <v>14</v>
      </c>
      <c r="D50" s="1">
        <f t="shared" si="3"/>
        <v>9</v>
      </c>
      <c r="E50" s="1">
        <f t="shared" si="3"/>
        <v>3</v>
      </c>
      <c r="F50" s="1">
        <f>COUNT(F32:F42)+COUNT(F46:F48)+COUNT(F44)</f>
        <v>8</v>
      </c>
      <c r="G50" s="1">
        <f t="shared" si="3"/>
        <v>0</v>
      </c>
      <c r="H50" s="1">
        <f t="shared" si="3"/>
        <v>10</v>
      </c>
      <c r="I50" s="1">
        <f t="shared" si="3"/>
        <v>14</v>
      </c>
      <c r="J50" s="1">
        <f>COUNT(J32:J42)+COUNT(J46:J48)</f>
        <v>6</v>
      </c>
      <c r="K50" s="1">
        <f t="shared" si="3"/>
        <v>0</v>
      </c>
      <c r="L50" s="1">
        <f>COUNT(L33:L45)+COUNT(L32)+COUNT(L46:L48)</f>
        <v>8</v>
      </c>
      <c r="M50" s="1">
        <f>COUNT(M34:M48)</f>
        <v>7</v>
      </c>
      <c r="N50" s="1">
        <f t="shared" si="3"/>
        <v>15</v>
      </c>
    </row>
    <row r="51" spans="2:22" ht="31.5">
      <c r="B51" s="11" t="s">
        <v>228</v>
      </c>
      <c r="C51" s="55">
        <f>C49/C50</f>
        <v>419.07142857142856</v>
      </c>
      <c r="D51" s="55">
        <f>D49/D50</f>
        <v>401.55555555555554</v>
      </c>
      <c r="E51" s="55">
        <f>E49/E50</f>
        <v>378.3333333333333</v>
      </c>
      <c r="F51" s="55">
        <f aca="true" t="shared" si="4" ref="F51:N51">F49/F50</f>
        <v>386.625</v>
      </c>
      <c r="G51" s="55"/>
      <c r="H51" s="55">
        <f>H49/H50</f>
        <v>434.6</v>
      </c>
      <c r="I51" s="55">
        <f t="shared" si="4"/>
        <v>420.14285714285717</v>
      </c>
      <c r="J51" s="55">
        <f t="shared" si="4"/>
        <v>402.8333333333333</v>
      </c>
      <c r="K51" s="55"/>
      <c r="L51" s="55">
        <f t="shared" si="4"/>
        <v>403.5</v>
      </c>
      <c r="M51" s="55">
        <f t="shared" si="4"/>
        <v>391.85714285714283</v>
      </c>
      <c r="N51" s="55">
        <f t="shared" si="4"/>
        <v>422.8666666666667</v>
      </c>
      <c r="O51" s="3" t="s">
        <v>29</v>
      </c>
      <c r="P51" s="461" t="s">
        <v>109</v>
      </c>
      <c r="Q51" s="461"/>
      <c r="R51" s="3" t="s">
        <v>30</v>
      </c>
      <c r="S51" s="10" t="s">
        <v>110</v>
      </c>
      <c r="U51" s="63" t="s">
        <v>118</v>
      </c>
      <c r="V51" s="63" t="s">
        <v>209</v>
      </c>
    </row>
    <row r="52" spans="15:22" ht="15.75">
      <c r="O52" s="6">
        <f>SUM(O32:O48)+O26</f>
        <v>78292</v>
      </c>
      <c r="P52" s="6">
        <f>SUM(P32:P48)+P26</f>
        <v>84</v>
      </c>
      <c r="Q52" s="6">
        <f>SUM(Q32:Q48)+Q26</f>
        <v>172</v>
      </c>
      <c r="R52" s="6">
        <f>SUM(R32:R48)+R26</f>
        <v>-3051</v>
      </c>
      <c r="S52" s="6">
        <f>SUM(S32:S48)+S26</f>
        <v>10</v>
      </c>
      <c r="U52" s="2">
        <f>P52-Q52</f>
        <v>-88</v>
      </c>
      <c r="V52" s="2">
        <f>SUM(T49:V49)</f>
        <v>32</v>
      </c>
    </row>
    <row r="54" spans="15:16" ht="15.75">
      <c r="O54" s="1" t="s">
        <v>120</v>
      </c>
      <c r="P54" s="18">
        <f>O52/V52</f>
        <v>2446.625</v>
      </c>
    </row>
  </sheetData>
  <sheetProtection/>
  <mergeCells count="9">
    <mergeCell ref="P51:Q51"/>
    <mergeCell ref="E1:F1"/>
    <mergeCell ref="P4:Q4"/>
    <mergeCell ref="C28:D28"/>
    <mergeCell ref="P25:Q25"/>
    <mergeCell ref="F28:I28"/>
    <mergeCell ref="K28:L28"/>
    <mergeCell ref="C4:N4"/>
    <mergeCell ref="J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6"/>
  <sheetViews>
    <sheetView zoomScalePageLayoutView="0" workbookViewId="0" topLeftCell="A1">
      <selection activeCell="D176" sqref="B2:D176"/>
    </sheetView>
  </sheetViews>
  <sheetFormatPr defaultColWidth="9.00390625" defaultRowHeight="12.75"/>
  <cols>
    <col min="1" max="1" width="9.125" style="38" customWidth="1"/>
    <col min="2" max="2" width="19.00390625" style="38" bestFit="1" customWidth="1"/>
    <col min="3" max="3" width="20.25390625" style="38" bestFit="1" customWidth="1"/>
    <col min="4" max="4" width="12.75390625" style="38" customWidth="1"/>
  </cols>
  <sheetData>
    <row r="1" spans="2:4" ht="15.75">
      <c r="B1" s="11" t="s">
        <v>299</v>
      </c>
      <c r="C1" s="11" t="s">
        <v>300</v>
      </c>
      <c r="D1" s="11" t="s">
        <v>301</v>
      </c>
    </row>
    <row r="2" spans="1:4" ht="15.75">
      <c r="A2" s="38">
        <v>1</v>
      </c>
      <c r="B2" s="408" t="s">
        <v>205</v>
      </c>
      <c r="C2" s="408" t="s">
        <v>22</v>
      </c>
      <c r="D2" s="412">
        <f>Santé!K50</f>
        <v>470.1111111111111</v>
      </c>
    </row>
    <row r="3" spans="1:20" ht="15.75">
      <c r="A3" s="38">
        <f>A2+1</f>
        <v>2</v>
      </c>
      <c r="B3" s="408" t="s">
        <v>73</v>
      </c>
      <c r="C3" s="408" t="s">
        <v>194</v>
      </c>
      <c r="D3" s="413">
        <f>Kalmár!F50</f>
        <v>464.53846153846155</v>
      </c>
      <c r="E3" s="404"/>
      <c r="O3" s="407"/>
      <c r="S3" s="403"/>
      <c r="T3" s="404"/>
    </row>
    <row r="4" spans="1:4" ht="15.75">
      <c r="A4" s="38">
        <f aca="true" t="shared" si="0" ref="A4:A67">A3+1</f>
        <v>3</v>
      </c>
      <c r="B4" s="410" t="s">
        <v>287</v>
      </c>
      <c r="C4" s="408" t="s">
        <v>25</v>
      </c>
      <c r="D4" s="412">
        <f>Kinizsi!E50</f>
        <v>460.2142857142857</v>
      </c>
    </row>
    <row r="5" spans="1:5" ht="15.75">
      <c r="A5" s="38">
        <f t="shared" si="0"/>
        <v>4</v>
      </c>
      <c r="B5" s="410" t="s">
        <v>282</v>
      </c>
      <c r="C5" s="408" t="s">
        <v>241</v>
      </c>
      <c r="D5" s="412">
        <f>'Vörös Ördögök'!E50</f>
        <v>456.5</v>
      </c>
      <c r="E5" s="406"/>
    </row>
    <row r="6" spans="1:5" ht="15.75">
      <c r="A6" s="38">
        <f t="shared" si="0"/>
        <v>5</v>
      </c>
      <c r="B6" s="410" t="s">
        <v>129</v>
      </c>
      <c r="C6" s="408" t="s">
        <v>18</v>
      </c>
      <c r="D6" s="411">
        <f>'Anro ker'!I51</f>
        <v>454.0625</v>
      </c>
      <c r="E6" s="259"/>
    </row>
    <row r="7" spans="1:20" ht="15.75">
      <c r="A7" s="38">
        <f t="shared" si="0"/>
        <v>6</v>
      </c>
      <c r="B7" s="410" t="s">
        <v>235</v>
      </c>
      <c r="C7" s="408" t="s">
        <v>17</v>
      </c>
      <c r="D7" s="412">
        <f>Privát!K50</f>
        <v>453.6923076923077</v>
      </c>
      <c r="E7" s="405"/>
      <c r="O7" s="405"/>
      <c r="P7" s="405"/>
      <c r="Q7" s="405"/>
      <c r="R7" s="405"/>
      <c r="S7" s="405"/>
      <c r="T7" s="405"/>
    </row>
    <row r="8" spans="1:20" ht="15.75">
      <c r="A8" s="38">
        <f t="shared" si="0"/>
        <v>7</v>
      </c>
      <c r="B8" s="408" t="s">
        <v>123</v>
      </c>
      <c r="C8" s="408" t="s">
        <v>22</v>
      </c>
      <c r="D8" s="412">
        <f>Santé!L50</f>
        <v>452.1818181818182</v>
      </c>
      <c r="E8" s="406"/>
      <c r="O8" s="406"/>
      <c r="P8" s="406"/>
      <c r="Q8" s="406"/>
      <c r="R8" s="406"/>
      <c r="S8" s="406"/>
      <c r="T8" s="406"/>
    </row>
    <row r="9" spans="1:20" ht="15.75">
      <c r="A9" s="38">
        <f t="shared" si="0"/>
        <v>8</v>
      </c>
      <c r="B9" s="403" t="s">
        <v>40</v>
      </c>
      <c r="C9" s="408" t="s">
        <v>194</v>
      </c>
      <c r="D9" s="413">
        <f>Kalmár!K50</f>
        <v>449.6</v>
      </c>
      <c r="E9" s="406"/>
      <c r="O9" s="406"/>
      <c r="P9" s="406"/>
      <c r="Q9" s="406"/>
      <c r="R9" s="406"/>
      <c r="S9" s="406"/>
      <c r="T9" s="406"/>
    </row>
    <row r="10" spans="1:20" ht="15.75">
      <c r="A10" s="38">
        <f t="shared" si="0"/>
        <v>9</v>
      </c>
      <c r="B10" s="408" t="s">
        <v>105</v>
      </c>
      <c r="C10" s="408" t="s">
        <v>18</v>
      </c>
      <c r="D10" s="411">
        <f>'Anro ker'!J51</f>
        <v>449.5</v>
      </c>
      <c r="E10" s="406"/>
      <c r="O10" s="406"/>
      <c r="P10" s="406"/>
      <c r="Q10" s="406"/>
      <c r="R10" s="406"/>
      <c r="S10" s="406"/>
      <c r="T10" s="406"/>
    </row>
    <row r="11" spans="1:20" ht="15.75">
      <c r="A11" s="38">
        <f t="shared" si="0"/>
        <v>10</v>
      </c>
      <c r="B11" s="408" t="s">
        <v>127</v>
      </c>
      <c r="C11" s="408" t="s">
        <v>194</v>
      </c>
      <c r="D11" s="413">
        <f>Kalmár!I50</f>
        <v>447.6923076923077</v>
      </c>
      <c r="E11" s="406"/>
      <c r="O11" s="406"/>
      <c r="P11" s="406"/>
      <c r="Q11" s="406"/>
      <c r="R11" s="406"/>
      <c r="S11" s="406"/>
      <c r="T11" s="406"/>
    </row>
    <row r="12" spans="1:20" ht="15.75">
      <c r="A12" s="38">
        <f t="shared" si="0"/>
        <v>11</v>
      </c>
      <c r="B12" s="408" t="s">
        <v>104</v>
      </c>
      <c r="C12" s="408" t="s">
        <v>25</v>
      </c>
      <c r="D12" s="412">
        <f>Kinizsi!J50</f>
        <v>446.46153846153845</v>
      </c>
      <c r="E12" s="406"/>
      <c r="O12" s="406"/>
      <c r="P12" s="406"/>
      <c r="Q12" s="406"/>
      <c r="R12" s="406"/>
      <c r="S12" s="406"/>
      <c r="T12" s="406"/>
    </row>
    <row r="13" spans="1:4" ht="15.75">
      <c r="A13" s="38">
        <f t="shared" si="0"/>
        <v>12</v>
      </c>
      <c r="B13" s="409" t="s">
        <v>69</v>
      </c>
      <c r="C13" s="408" t="s">
        <v>22</v>
      </c>
      <c r="D13" s="413">
        <f>Santé!E50</f>
        <v>445.1666666666667</v>
      </c>
    </row>
    <row r="14" spans="1:4" ht="15.75">
      <c r="A14" s="38">
        <f t="shared" si="0"/>
        <v>13</v>
      </c>
      <c r="B14" s="408" t="s">
        <v>78</v>
      </c>
      <c r="C14" s="408" t="s">
        <v>18</v>
      </c>
      <c r="D14" s="411">
        <f>'Anro ker'!D51</f>
        <v>444.7857142857143</v>
      </c>
    </row>
    <row r="15" spans="1:4" ht="15.75">
      <c r="A15" s="38">
        <f t="shared" si="0"/>
        <v>14</v>
      </c>
      <c r="B15" s="408" t="s">
        <v>236</v>
      </c>
      <c r="C15" s="40" t="s">
        <v>195</v>
      </c>
      <c r="D15" s="412">
        <f>GLB!H51</f>
        <v>444.1875</v>
      </c>
    </row>
    <row r="16" spans="1:4" ht="15.75">
      <c r="A16" s="38">
        <f t="shared" si="0"/>
        <v>15</v>
      </c>
      <c r="B16" s="403" t="s">
        <v>281</v>
      </c>
      <c r="C16" s="408" t="s">
        <v>241</v>
      </c>
      <c r="D16" s="412">
        <f>'Vörös Ördögök'!K50</f>
        <v>444</v>
      </c>
    </row>
    <row r="17" spans="1:4" ht="15.75">
      <c r="A17" s="38">
        <f t="shared" si="0"/>
        <v>16</v>
      </c>
      <c r="B17" s="408" t="s">
        <v>122</v>
      </c>
      <c r="C17" s="408" t="s">
        <v>15</v>
      </c>
      <c r="D17" s="412">
        <f>Tápé!I51</f>
        <v>443.7142857142857</v>
      </c>
    </row>
    <row r="18" spans="1:4" ht="15.75">
      <c r="A18" s="38">
        <f t="shared" si="0"/>
        <v>17</v>
      </c>
      <c r="B18" s="408" t="s">
        <v>48</v>
      </c>
      <c r="C18" s="408" t="s">
        <v>17</v>
      </c>
      <c r="D18" s="412">
        <f>Privát!D50</f>
        <v>443.375</v>
      </c>
    </row>
    <row r="19" spans="1:4" ht="15.75">
      <c r="A19" s="38">
        <f t="shared" si="0"/>
        <v>18</v>
      </c>
      <c r="B19" s="408" t="s">
        <v>288</v>
      </c>
      <c r="C19" s="408" t="s">
        <v>25</v>
      </c>
      <c r="D19" s="412">
        <f>Kinizsi!M50</f>
        <v>443.06666666666666</v>
      </c>
    </row>
    <row r="20" spans="1:4" ht="15.75">
      <c r="A20" s="38">
        <f t="shared" si="0"/>
        <v>19</v>
      </c>
      <c r="B20" s="408" t="s">
        <v>275</v>
      </c>
      <c r="C20" s="409" t="s">
        <v>192</v>
      </c>
      <c r="D20" s="412">
        <f>'Temesvári Hús'!C51</f>
        <v>442.875</v>
      </c>
    </row>
    <row r="21" spans="1:4" ht="15.75">
      <c r="A21" s="38">
        <f t="shared" si="0"/>
        <v>20</v>
      </c>
      <c r="B21" s="408" t="s">
        <v>171</v>
      </c>
      <c r="C21" s="408" t="s">
        <v>194</v>
      </c>
      <c r="D21" s="413">
        <f>Kalmár!J50</f>
        <v>442.09090909090907</v>
      </c>
    </row>
    <row r="22" spans="1:4" ht="15.75">
      <c r="A22" s="38">
        <f t="shared" si="0"/>
        <v>21</v>
      </c>
      <c r="B22" s="409" t="s">
        <v>71</v>
      </c>
      <c r="C22" s="408" t="s">
        <v>22</v>
      </c>
      <c r="D22" s="413">
        <f>Santé!G50</f>
        <v>442</v>
      </c>
    </row>
    <row r="23" spans="1:4" ht="15.75">
      <c r="A23" s="38">
        <f t="shared" si="0"/>
        <v>22</v>
      </c>
      <c r="B23" s="403" t="s">
        <v>264</v>
      </c>
      <c r="C23" s="408" t="s">
        <v>241</v>
      </c>
      <c r="D23" s="412">
        <f>'Vörös Ördögök'!J50</f>
        <v>442</v>
      </c>
    </row>
    <row r="24" spans="1:4" ht="31.5">
      <c r="A24" s="38">
        <f t="shared" si="0"/>
        <v>23</v>
      </c>
      <c r="B24" s="408" t="s">
        <v>245</v>
      </c>
      <c r="C24" s="409" t="s">
        <v>242</v>
      </c>
      <c r="D24" s="412">
        <f>'Amazonok és Titánok'!N50</f>
        <v>441.5</v>
      </c>
    </row>
    <row r="25" spans="1:4" ht="15.75">
      <c r="A25" s="38">
        <f t="shared" si="0"/>
        <v>24</v>
      </c>
      <c r="B25" s="408" t="s">
        <v>126</v>
      </c>
      <c r="C25" s="40" t="s">
        <v>197</v>
      </c>
      <c r="D25" s="412">
        <f>'Fa-Team'!K51</f>
        <v>441.1333333333333</v>
      </c>
    </row>
    <row r="26" spans="1:4" ht="15.75">
      <c r="A26" s="38">
        <f t="shared" si="0"/>
        <v>25</v>
      </c>
      <c r="B26" s="410" t="s">
        <v>276</v>
      </c>
      <c r="C26" s="409" t="s">
        <v>192</v>
      </c>
      <c r="D26" s="412">
        <f>'Temesvári Hús'!I51</f>
        <v>441</v>
      </c>
    </row>
    <row r="27" spans="1:4" ht="15.75">
      <c r="A27" s="38">
        <f t="shared" si="0"/>
        <v>26</v>
      </c>
      <c r="B27" s="409" t="s">
        <v>59</v>
      </c>
      <c r="C27" s="409" t="s">
        <v>19</v>
      </c>
      <c r="D27" s="412">
        <f>Szefo!F50</f>
        <v>440.85714285714283</v>
      </c>
    </row>
    <row r="28" spans="1:4" ht="15.75">
      <c r="A28" s="38">
        <f t="shared" si="0"/>
        <v>27</v>
      </c>
      <c r="B28" s="409" t="s">
        <v>61</v>
      </c>
      <c r="C28" s="409" t="s">
        <v>19</v>
      </c>
      <c r="D28" s="412">
        <f>Szefo!C50</f>
        <v>439.625</v>
      </c>
    </row>
    <row r="29" spans="1:4" ht="15.75">
      <c r="A29" s="38">
        <f t="shared" si="0"/>
        <v>28</v>
      </c>
      <c r="B29" s="408" t="s">
        <v>168</v>
      </c>
      <c r="C29" s="40" t="s">
        <v>272</v>
      </c>
      <c r="D29" s="412">
        <f>Partiscum!G51</f>
        <v>438.6666666666667</v>
      </c>
    </row>
    <row r="30" spans="1:4" ht="15.75">
      <c r="A30" s="38">
        <f t="shared" si="0"/>
        <v>29</v>
      </c>
      <c r="B30" s="408" t="s">
        <v>263</v>
      </c>
      <c r="C30" s="40" t="s">
        <v>20</v>
      </c>
      <c r="D30" s="412">
        <f>'Dél Akku'!H50</f>
        <v>438.57142857142856</v>
      </c>
    </row>
    <row r="31" spans="1:4" ht="15.75">
      <c r="A31" s="38">
        <f t="shared" si="0"/>
        <v>30</v>
      </c>
      <c r="B31" s="408" t="s">
        <v>53</v>
      </c>
      <c r="C31" s="40" t="s">
        <v>20</v>
      </c>
      <c r="D31" s="412">
        <f>'Dél Akku'!D50</f>
        <v>438</v>
      </c>
    </row>
    <row r="32" spans="1:4" ht="15.75">
      <c r="A32" s="38">
        <f t="shared" si="0"/>
        <v>31</v>
      </c>
      <c r="B32" s="404" t="s">
        <v>302</v>
      </c>
      <c r="C32" s="408" t="s">
        <v>17</v>
      </c>
      <c r="D32" s="412">
        <f>Privát!H50</f>
        <v>437.8</v>
      </c>
    </row>
    <row r="33" spans="1:4" ht="15.75">
      <c r="A33" s="38">
        <f t="shared" si="0"/>
        <v>32</v>
      </c>
      <c r="B33" s="409" t="s">
        <v>257</v>
      </c>
      <c r="C33" s="408" t="s">
        <v>241</v>
      </c>
      <c r="D33" s="412">
        <f>'Vörös Ördögök'!F50</f>
        <v>437.46153846153845</v>
      </c>
    </row>
    <row r="34" spans="1:4" ht="15.75">
      <c r="A34" s="38">
        <f t="shared" si="0"/>
        <v>33</v>
      </c>
      <c r="B34" s="408" t="s">
        <v>179</v>
      </c>
      <c r="C34" s="408" t="s">
        <v>17</v>
      </c>
      <c r="D34" s="412">
        <f>Privát!J50</f>
        <v>437.2142857142857</v>
      </c>
    </row>
    <row r="35" spans="1:4" ht="15.75">
      <c r="A35" s="38">
        <f t="shared" si="0"/>
        <v>34</v>
      </c>
      <c r="B35" s="408" t="s">
        <v>85</v>
      </c>
      <c r="C35" s="408" t="s">
        <v>238</v>
      </c>
      <c r="D35" s="412">
        <f>Gumigyár!C50</f>
        <v>436.625</v>
      </c>
    </row>
    <row r="36" spans="1:4" ht="15.75">
      <c r="A36" s="38">
        <f t="shared" si="0"/>
        <v>35</v>
      </c>
      <c r="B36" s="408" t="s">
        <v>162</v>
      </c>
      <c r="C36" s="408" t="s">
        <v>17</v>
      </c>
      <c r="D36" s="412">
        <f>Privát!C50</f>
        <v>436.0833333333333</v>
      </c>
    </row>
    <row r="37" spans="1:4" ht="15.75">
      <c r="A37" s="38">
        <f t="shared" si="0"/>
        <v>36</v>
      </c>
      <c r="B37" s="409" t="s">
        <v>256</v>
      </c>
      <c r="C37" s="408" t="s">
        <v>241</v>
      </c>
      <c r="D37" s="412">
        <f>'Vörös Ördögök'!D50</f>
        <v>436</v>
      </c>
    </row>
    <row r="38" spans="1:4" ht="15.75">
      <c r="A38" s="38">
        <f t="shared" si="0"/>
        <v>37</v>
      </c>
      <c r="B38" s="414" t="s">
        <v>206</v>
      </c>
      <c r="C38" s="40" t="s">
        <v>272</v>
      </c>
      <c r="D38" s="412">
        <f>Partiscum!L51</f>
        <v>435.9166666666667</v>
      </c>
    </row>
    <row r="39" spans="1:4" ht="15.75">
      <c r="A39" s="38">
        <f t="shared" si="0"/>
        <v>38</v>
      </c>
      <c r="B39" s="408" t="s">
        <v>107</v>
      </c>
      <c r="C39" s="40" t="s">
        <v>195</v>
      </c>
      <c r="D39" s="412">
        <f>GLB!C51</f>
        <v>434.6666666666667</v>
      </c>
    </row>
    <row r="40" spans="1:4" ht="15.75">
      <c r="A40" s="38">
        <f t="shared" si="0"/>
        <v>39</v>
      </c>
      <c r="B40" s="410" t="s">
        <v>274</v>
      </c>
      <c r="C40" s="40" t="s">
        <v>298</v>
      </c>
      <c r="D40" s="56">
        <f>Postás!H51</f>
        <v>434.6</v>
      </c>
    </row>
    <row r="41" spans="1:4" ht="15.75">
      <c r="A41" s="38">
        <f t="shared" si="0"/>
        <v>40</v>
      </c>
      <c r="B41" s="408" t="s">
        <v>161</v>
      </c>
      <c r="C41" s="40" t="s">
        <v>195</v>
      </c>
      <c r="D41" s="412">
        <f>GLB!F51</f>
        <v>434.53333333333336</v>
      </c>
    </row>
    <row r="42" spans="1:4" ht="15.75">
      <c r="A42" s="38">
        <f t="shared" si="0"/>
        <v>41</v>
      </c>
      <c r="B42" s="408" t="s">
        <v>113</v>
      </c>
      <c r="C42" s="408" t="s">
        <v>15</v>
      </c>
      <c r="D42" s="412">
        <f>Tápé!K51</f>
        <v>434.42857142857144</v>
      </c>
    </row>
    <row r="43" spans="1:4" ht="15.75">
      <c r="A43" s="38">
        <f t="shared" si="0"/>
        <v>42</v>
      </c>
      <c r="B43" s="408" t="s">
        <v>81</v>
      </c>
      <c r="C43" s="408" t="s">
        <v>18</v>
      </c>
      <c r="D43" s="411">
        <f>'Anro ker'!G51</f>
        <v>434.1666666666667</v>
      </c>
    </row>
    <row r="44" spans="1:4" ht="15.75">
      <c r="A44" s="38">
        <f t="shared" si="0"/>
        <v>43</v>
      </c>
      <c r="B44" s="408" t="s">
        <v>38</v>
      </c>
      <c r="C44" s="408" t="s">
        <v>25</v>
      </c>
      <c r="D44" s="412">
        <f>Kinizsi!C50</f>
        <v>434.1111111111111</v>
      </c>
    </row>
    <row r="45" spans="1:4" ht="15.75">
      <c r="A45" s="38">
        <f t="shared" si="0"/>
        <v>44</v>
      </c>
      <c r="B45" s="408" t="s">
        <v>33</v>
      </c>
      <c r="C45" s="40" t="s">
        <v>195</v>
      </c>
      <c r="D45" s="412">
        <f>GLB!E51</f>
        <v>433.8666666666667</v>
      </c>
    </row>
    <row r="46" spans="1:4" ht="15.75">
      <c r="A46" s="38">
        <f t="shared" si="0"/>
        <v>45</v>
      </c>
      <c r="B46" s="408" t="s">
        <v>99</v>
      </c>
      <c r="C46" s="408" t="s">
        <v>194</v>
      </c>
      <c r="D46" s="413">
        <f>Kalmár!G50</f>
        <v>433.8125</v>
      </c>
    </row>
    <row r="47" spans="1:4" ht="15.75">
      <c r="A47" s="38">
        <f t="shared" si="0"/>
        <v>46</v>
      </c>
      <c r="B47" s="408" t="s">
        <v>49</v>
      </c>
      <c r="C47" s="408" t="s">
        <v>17</v>
      </c>
      <c r="D47" s="412">
        <f>Privát!E50</f>
        <v>433.5833333333333</v>
      </c>
    </row>
    <row r="48" spans="1:4" ht="15.75">
      <c r="A48" s="38">
        <f t="shared" si="0"/>
        <v>47</v>
      </c>
      <c r="B48" s="408" t="s">
        <v>50</v>
      </c>
      <c r="C48" s="408" t="s">
        <v>25</v>
      </c>
      <c r="D48" s="412">
        <f>Kinizsi!G50</f>
        <v>433.42857142857144</v>
      </c>
    </row>
    <row r="49" spans="1:4" ht="15.75">
      <c r="A49" s="38">
        <f t="shared" si="0"/>
        <v>48</v>
      </c>
      <c r="B49" s="409" t="s">
        <v>258</v>
      </c>
      <c r="C49" s="408" t="s">
        <v>241</v>
      </c>
      <c r="D49" s="412">
        <f>'Vörös Ördögök'!G50</f>
        <v>433.27272727272725</v>
      </c>
    </row>
    <row r="50" spans="1:4" ht="15.75">
      <c r="A50" s="38">
        <f t="shared" si="0"/>
        <v>49</v>
      </c>
      <c r="B50" s="408" t="s">
        <v>46</v>
      </c>
      <c r="C50" s="408" t="s">
        <v>15</v>
      </c>
      <c r="D50" s="412">
        <f>Tápé!G51</f>
        <v>433.07142857142856</v>
      </c>
    </row>
    <row r="51" spans="1:4" ht="15.75">
      <c r="A51" s="38">
        <f t="shared" si="0"/>
        <v>50</v>
      </c>
      <c r="B51" s="408" t="s">
        <v>88</v>
      </c>
      <c r="C51" s="408" t="s">
        <v>238</v>
      </c>
      <c r="D51" s="413">
        <f>Gumigyár!I50</f>
        <v>432.8125</v>
      </c>
    </row>
    <row r="52" spans="1:4" ht="15.75">
      <c r="A52" s="38">
        <f t="shared" si="0"/>
        <v>51</v>
      </c>
      <c r="B52" s="408" t="s">
        <v>45</v>
      </c>
      <c r="C52" s="408" t="s">
        <v>15</v>
      </c>
      <c r="D52" s="412">
        <f>Tápé!F51</f>
        <v>432.3333333333333</v>
      </c>
    </row>
    <row r="53" spans="1:4" ht="15.75">
      <c r="A53" s="38">
        <f t="shared" si="0"/>
        <v>52</v>
      </c>
      <c r="B53" s="408" t="s">
        <v>47</v>
      </c>
      <c r="C53" s="408" t="s">
        <v>15</v>
      </c>
      <c r="D53" s="412">
        <f>Tápé!H51</f>
        <v>432.2307692307692</v>
      </c>
    </row>
    <row r="54" spans="1:4" ht="15.75">
      <c r="A54" s="38">
        <f t="shared" si="0"/>
        <v>53</v>
      </c>
      <c r="B54" s="408" t="s">
        <v>67</v>
      </c>
      <c r="C54" s="408" t="s">
        <v>22</v>
      </c>
      <c r="D54" s="412">
        <f>Santé!C50</f>
        <v>431.46153846153845</v>
      </c>
    </row>
    <row r="55" spans="1:4" ht="15.75">
      <c r="A55" s="38">
        <f t="shared" si="0"/>
        <v>54</v>
      </c>
      <c r="B55" s="408" t="s">
        <v>34</v>
      </c>
      <c r="C55" s="409" t="s">
        <v>242</v>
      </c>
      <c r="D55" s="413">
        <f>'Amazonok és Titánok'!K50</f>
        <v>431.2307692307692</v>
      </c>
    </row>
    <row r="56" spans="1:4" ht="15.75">
      <c r="A56" s="38">
        <f t="shared" si="0"/>
        <v>55</v>
      </c>
      <c r="B56" s="408" t="s">
        <v>90</v>
      </c>
      <c r="C56" s="409" t="s">
        <v>242</v>
      </c>
      <c r="D56" s="413">
        <f>'Amazonok és Titánok'!J50</f>
        <v>430.5</v>
      </c>
    </row>
    <row r="57" spans="1:4" ht="15.75">
      <c r="A57" s="38">
        <f t="shared" si="0"/>
        <v>56</v>
      </c>
      <c r="B57" s="408" t="s">
        <v>80</v>
      </c>
      <c r="C57" s="408" t="s">
        <v>18</v>
      </c>
      <c r="D57" s="411">
        <f>'Anro ker'!F51</f>
        <v>429.75</v>
      </c>
    </row>
    <row r="58" spans="1:4" ht="15.75">
      <c r="A58" s="38">
        <f t="shared" si="0"/>
        <v>57</v>
      </c>
      <c r="B58" s="403" t="s">
        <v>183</v>
      </c>
      <c r="C58" s="408" t="s">
        <v>15</v>
      </c>
      <c r="D58" s="412">
        <f>Tápé!D51</f>
        <v>429</v>
      </c>
    </row>
    <row r="59" spans="1:4" ht="15.75">
      <c r="A59" s="38">
        <f t="shared" si="0"/>
        <v>58</v>
      </c>
      <c r="B59" s="408" t="s">
        <v>64</v>
      </c>
      <c r="C59" s="40" t="s">
        <v>195</v>
      </c>
      <c r="D59" s="412">
        <f>GLB!D51</f>
        <v>428.7142857142857</v>
      </c>
    </row>
    <row r="60" spans="1:4" ht="15.75">
      <c r="A60" s="38">
        <f t="shared" si="0"/>
        <v>59</v>
      </c>
      <c r="B60" s="409" t="s">
        <v>94</v>
      </c>
      <c r="C60" s="408" t="s">
        <v>22</v>
      </c>
      <c r="D60" s="413">
        <f>Santé!H50</f>
        <v>428.7142857142857</v>
      </c>
    </row>
    <row r="61" spans="1:4" ht="15.75">
      <c r="A61" s="38">
        <f t="shared" si="0"/>
        <v>60</v>
      </c>
      <c r="B61" s="403" t="s">
        <v>237</v>
      </c>
      <c r="C61" s="408" t="s">
        <v>194</v>
      </c>
      <c r="D61" s="412">
        <f>Kalmár!L50</f>
        <v>428</v>
      </c>
    </row>
    <row r="62" spans="1:4" ht="15.75">
      <c r="A62" s="38">
        <f t="shared" si="0"/>
        <v>61</v>
      </c>
      <c r="B62" s="408" t="s">
        <v>54</v>
      </c>
      <c r="C62" s="40" t="s">
        <v>20</v>
      </c>
      <c r="D62" s="412">
        <f>'Dél Akku'!E50</f>
        <v>427.9375</v>
      </c>
    </row>
    <row r="63" spans="1:4" ht="15.75">
      <c r="A63" s="38">
        <f t="shared" si="0"/>
        <v>62</v>
      </c>
      <c r="B63" s="408" t="s">
        <v>75</v>
      </c>
      <c r="C63" s="409" t="s">
        <v>192</v>
      </c>
      <c r="D63" s="412">
        <f>'Temesvári Hús'!H51</f>
        <v>427.93333333333334</v>
      </c>
    </row>
    <row r="64" spans="1:4" ht="15.75">
      <c r="A64" s="38">
        <f t="shared" si="0"/>
        <v>63</v>
      </c>
      <c r="B64" s="408" t="s">
        <v>74</v>
      </c>
      <c r="C64" s="409" t="s">
        <v>192</v>
      </c>
      <c r="D64" s="412">
        <f>'Temesvári Hús'!G51</f>
        <v>427.8</v>
      </c>
    </row>
    <row r="65" spans="1:4" ht="15.75">
      <c r="A65" s="38">
        <f t="shared" si="0"/>
        <v>64</v>
      </c>
      <c r="B65" s="409" t="s">
        <v>60</v>
      </c>
      <c r="C65" s="409" t="s">
        <v>19</v>
      </c>
      <c r="D65" s="412">
        <f>Szefo!D50</f>
        <v>426.375</v>
      </c>
    </row>
    <row r="66" spans="1:4" ht="15.75">
      <c r="A66" s="38">
        <f t="shared" si="0"/>
        <v>65</v>
      </c>
      <c r="B66" s="408" t="s">
        <v>102</v>
      </c>
      <c r="C66" s="409" t="s">
        <v>192</v>
      </c>
      <c r="D66" s="412">
        <f>'Temesvári Hús'!F51</f>
        <v>426.3</v>
      </c>
    </row>
    <row r="67" spans="1:4" ht="15.75">
      <c r="A67" s="38">
        <f t="shared" si="0"/>
        <v>66</v>
      </c>
      <c r="B67" s="409" t="s">
        <v>286</v>
      </c>
      <c r="C67" s="408" t="s">
        <v>241</v>
      </c>
      <c r="D67" s="412">
        <f>'Vörös Ördögök'!L50</f>
        <v>426.14285714285717</v>
      </c>
    </row>
    <row r="68" spans="1:4" ht="15.75">
      <c r="A68" s="38">
        <f aca="true" t="shared" si="1" ref="A68:A131">A67+1</f>
        <v>67</v>
      </c>
      <c r="B68" s="409" t="s">
        <v>51</v>
      </c>
      <c r="C68" s="40" t="s">
        <v>196</v>
      </c>
      <c r="D68" s="412">
        <f>Euroteke!H50</f>
        <v>425.14285714285717</v>
      </c>
    </row>
    <row r="69" spans="1:4" ht="15.75">
      <c r="A69" s="38">
        <f t="shared" si="1"/>
        <v>68</v>
      </c>
      <c r="B69" s="408" t="s">
        <v>100</v>
      </c>
      <c r="C69" s="408" t="s">
        <v>194</v>
      </c>
      <c r="D69" s="413">
        <f>Kalmár!D50</f>
        <v>424.875</v>
      </c>
    </row>
    <row r="70" spans="1:4" ht="15.75">
      <c r="A70" s="38">
        <f t="shared" si="1"/>
        <v>69</v>
      </c>
      <c r="B70" s="408" t="s">
        <v>101</v>
      </c>
      <c r="C70" s="408" t="s">
        <v>194</v>
      </c>
      <c r="D70" s="413">
        <f>Kalmár!E50</f>
        <v>424.7857142857143</v>
      </c>
    </row>
    <row r="71" spans="1:4" ht="15.75">
      <c r="A71" s="38">
        <f t="shared" si="1"/>
        <v>70</v>
      </c>
      <c r="B71" s="409" t="s">
        <v>259</v>
      </c>
      <c r="C71" s="408" t="s">
        <v>241</v>
      </c>
      <c r="D71" s="412">
        <f>'Vörös Ördögök'!I50</f>
        <v>424.55555555555554</v>
      </c>
    </row>
    <row r="72" spans="1:4" ht="15.75">
      <c r="A72" s="38">
        <f t="shared" si="1"/>
        <v>71</v>
      </c>
      <c r="B72" s="409" t="s">
        <v>207</v>
      </c>
      <c r="C72" s="409" t="s">
        <v>19</v>
      </c>
      <c r="D72" s="412">
        <f>Szefo!E50</f>
        <v>424.0625</v>
      </c>
    </row>
    <row r="73" spans="1:4" ht="15.75">
      <c r="A73" s="38">
        <f t="shared" si="1"/>
        <v>72</v>
      </c>
      <c r="B73" s="408" t="s">
        <v>43</v>
      </c>
      <c r="C73" s="408" t="s">
        <v>25</v>
      </c>
      <c r="D73" s="412">
        <f>Kinizsi!I50</f>
        <v>424</v>
      </c>
    </row>
    <row r="74" spans="1:4" ht="15.75">
      <c r="A74" s="38">
        <f t="shared" si="1"/>
        <v>73</v>
      </c>
      <c r="B74" s="409" t="s">
        <v>201</v>
      </c>
      <c r="C74" s="40" t="s">
        <v>196</v>
      </c>
      <c r="D74" s="412">
        <f>Euroteke!J50</f>
        <v>423.8</v>
      </c>
    </row>
    <row r="75" spans="1:4" ht="15.75">
      <c r="A75" s="38">
        <f t="shared" si="1"/>
        <v>74</v>
      </c>
      <c r="B75" s="408" t="s">
        <v>185</v>
      </c>
      <c r="C75" s="409" t="s">
        <v>242</v>
      </c>
      <c r="D75" s="413">
        <f>'Amazonok és Titánok'!L50</f>
        <v>423.6666666666667</v>
      </c>
    </row>
    <row r="76" spans="1:4" ht="15.75">
      <c r="A76" s="38">
        <f t="shared" si="1"/>
        <v>75</v>
      </c>
      <c r="B76" s="408" t="s">
        <v>39</v>
      </c>
      <c r="C76" s="408" t="s">
        <v>25</v>
      </c>
      <c r="D76" s="412">
        <f>Kinizsi!D50</f>
        <v>423.2307692307692</v>
      </c>
    </row>
    <row r="77" spans="1:4" ht="15.75">
      <c r="A77" s="38">
        <f t="shared" si="1"/>
        <v>76</v>
      </c>
      <c r="B77" s="408" t="s">
        <v>163</v>
      </c>
      <c r="C77" s="408" t="s">
        <v>17</v>
      </c>
      <c r="D77" s="412">
        <f>Privát!G50</f>
        <v>423.2</v>
      </c>
    </row>
    <row r="78" spans="1:4" ht="15.75">
      <c r="A78" s="38">
        <f t="shared" si="1"/>
        <v>77</v>
      </c>
      <c r="B78" s="408" t="s">
        <v>208</v>
      </c>
      <c r="C78" s="408" t="s">
        <v>18</v>
      </c>
      <c r="D78" s="411">
        <f>'Anro ker'!K51</f>
        <v>423.125</v>
      </c>
    </row>
    <row r="79" spans="1:4" ht="15.75">
      <c r="A79" s="38">
        <f t="shared" si="1"/>
        <v>78</v>
      </c>
      <c r="B79" s="408" t="s">
        <v>77</v>
      </c>
      <c r="C79" s="408" t="s">
        <v>18</v>
      </c>
      <c r="D79" s="411">
        <f>'Anro ker'!C51</f>
        <v>423.0833333333333</v>
      </c>
    </row>
    <row r="80" spans="1:4" ht="15.75">
      <c r="A80" s="38">
        <f t="shared" si="1"/>
        <v>79</v>
      </c>
      <c r="B80" s="408" t="s">
        <v>249</v>
      </c>
      <c r="C80" s="40" t="s">
        <v>298</v>
      </c>
      <c r="D80" s="56">
        <f>Postás!N51</f>
        <v>422.8666666666667</v>
      </c>
    </row>
    <row r="81" spans="1:4" ht="15.75">
      <c r="A81" s="38">
        <f t="shared" si="1"/>
        <v>80</v>
      </c>
      <c r="B81" s="408" t="s">
        <v>169</v>
      </c>
      <c r="C81" s="40" t="s">
        <v>272</v>
      </c>
      <c r="D81" s="412">
        <f>Partiscum!H51</f>
        <v>422.6666666666667</v>
      </c>
    </row>
    <row r="82" spans="1:4" ht="15.75">
      <c r="A82" s="38">
        <f t="shared" si="1"/>
        <v>81</v>
      </c>
      <c r="B82" s="408" t="s">
        <v>63</v>
      </c>
      <c r="C82" s="409" t="s">
        <v>242</v>
      </c>
      <c r="D82" s="413">
        <f>'Amazonok és Titánok'!F50</f>
        <v>422.07142857142856</v>
      </c>
    </row>
    <row r="83" spans="1:4" ht="15.75">
      <c r="A83" s="38">
        <f t="shared" si="1"/>
        <v>82</v>
      </c>
      <c r="B83" s="409" t="s">
        <v>261</v>
      </c>
      <c r="C83" s="409" t="s">
        <v>19</v>
      </c>
      <c r="D83" s="412">
        <f>Szefo!K50</f>
        <v>421.93333333333334</v>
      </c>
    </row>
    <row r="84" spans="1:4" ht="15.75">
      <c r="A84" s="38">
        <f t="shared" si="1"/>
        <v>83</v>
      </c>
      <c r="B84" s="409" t="s">
        <v>70</v>
      </c>
      <c r="C84" s="408" t="s">
        <v>22</v>
      </c>
      <c r="D84" s="413">
        <f>Santé!F50</f>
        <v>421.5</v>
      </c>
    </row>
    <row r="85" spans="1:4" ht="15.75">
      <c r="A85" s="38">
        <f t="shared" si="1"/>
        <v>84</v>
      </c>
      <c r="B85" s="408" t="s">
        <v>32</v>
      </c>
      <c r="C85" s="409" t="s">
        <v>242</v>
      </c>
      <c r="D85" s="412">
        <f>'Amazonok és Titánok'!M50</f>
        <v>421.3333333333333</v>
      </c>
    </row>
    <row r="86" spans="1:4" ht="15.75">
      <c r="A86" s="38">
        <f t="shared" si="1"/>
        <v>85</v>
      </c>
      <c r="B86" s="408" t="s">
        <v>41</v>
      </c>
      <c r="C86" s="408" t="s">
        <v>25</v>
      </c>
      <c r="D86" s="412">
        <f>Kinizsi!F50</f>
        <v>421.2</v>
      </c>
    </row>
    <row r="87" spans="1:4" ht="15.75">
      <c r="A87" s="38">
        <f t="shared" si="1"/>
        <v>86</v>
      </c>
      <c r="B87" s="408" t="s">
        <v>295</v>
      </c>
      <c r="C87" s="408" t="s">
        <v>17</v>
      </c>
      <c r="D87" s="412">
        <f>Privát!F50</f>
        <v>421</v>
      </c>
    </row>
    <row r="88" spans="1:4" ht="15.75">
      <c r="A88" s="38">
        <f t="shared" si="1"/>
        <v>87</v>
      </c>
      <c r="B88" s="408" t="s">
        <v>55</v>
      </c>
      <c r="C88" s="40" t="s">
        <v>20</v>
      </c>
      <c r="D88" s="412">
        <f>'Dél Akku'!F50</f>
        <v>421</v>
      </c>
    </row>
    <row r="89" spans="1:4" ht="15.75">
      <c r="A89" s="38">
        <f t="shared" si="1"/>
        <v>88</v>
      </c>
      <c r="B89" s="408" t="s">
        <v>269</v>
      </c>
      <c r="C89" s="409" t="s">
        <v>192</v>
      </c>
      <c r="D89" s="412">
        <f>'Temesvári Hús'!E51</f>
        <v>420.5</v>
      </c>
    </row>
    <row r="90" spans="1:4" ht="15.75">
      <c r="A90" s="38">
        <f t="shared" si="1"/>
        <v>89</v>
      </c>
      <c r="B90" s="408" t="s">
        <v>52</v>
      </c>
      <c r="C90" s="40" t="s">
        <v>20</v>
      </c>
      <c r="D90" s="412">
        <f>'Dél Akku'!C50</f>
        <v>420.4</v>
      </c>
    </row>
    <row r="91" spans="1:4" ht="15.75">
      <c r="A91" s="38">
        <f t="shared" si="1"/>
        <v>90</v>
      </c>
      <c r="B91" s="408" t="s">
        <v>187</v>
      </c>
      <c r="C91" s="40" t="s">
        <v>298</v>
      </c>
      <c r="D91" s="56">
        <f>Postás!I51</f>
        <v>420.14285714285717</v>
      </c>
    </row>
    <row r="92" spans="1:4" ht="15.75">
      <c r="A92" s="38">
        <f t="shared" si="1"/>
        <v>91</v>
      </c>
      <c r="B92" s="408" t="s">
        <v>87</v>
      </c>
      <c r="C92" s="408" t="s">
        <v>238</v>
      </c>
      <c r="D92" s="413">
        <f>Gumigyár!H50</f>
        <v>420</v>
      </c>
    </row>
    <row r="93" spans="1:4" ht="15.75">
      <c r="A93" s="38">
        <f t="shared" si="1"/>
        <v>92</v>
      </c>
      <c r="B93" s="408" t="s">
        <v>285</v>
      </c>
      <c r="C93" s="40" t="s">
        <v>20</v>
      </c>
      <c r="D93" s="412">
        <f>'Dél Akku'!J50</f>
        <v>419.9230769230769</v>
      </c>
    </row>
    <row r="94" spans="1:4" ht="15.75">
      <c r="A94" s="38">
        <f t="shared" si="1"/>
        <v>93</v>
      </c>
      <c r="B94" s="408" t="s">
        <v>79</v>
      </c>
      <c r="C94" s="408" t="s">
        <v>18</v>
      </c>
      <c r="D94" s="411">
        <f>'Anro ker'!E51</f>
        <v>419.6363636363636</v>
      </c>
    </row>
    <row r="95" spans="1:4" ht="15.75">
      <c r="A95" s="38">
        <f t="shared" si="1"/>
        <v>94</v>
      </c>
      <c r="B95" s="408" t="s">
        <v>44</v>
      </c>
      <c r="C95" s="408" t="s">
        <v>15</v>
      </c>
      <c r="D95" s="412">
        <f>Tápé!E51</f>
        <v>419.0833333333333</v>
      </c>
    </row>
    <row r="96" spans="1:4" ht="15.75">
      <c r="A96" s="38">
        <f t="shared" si="1"/>
        <v>95</v>
      </c>
      <c r="B96" s="408" t="s">
        <v>82</v>
      </c>
      <c r="C96" s="40" t="s">
        <v>298</v>
      </c>
      <c r="D96" s="56">
        <f>Postás!C51</f>
        <v>419.07142857142856</v>
      </c>
    </row>
    <row r="97" spans="1:4" ht="15.75">
      <c r="A97" s="38">
        <f t="shared" si="1"/>
        <v>96</v>
      </c>
      <c r="B97" s="408" t="s">
        <v>91</v>
      </c>
      <c r="C97" s="408" t="s">
        <v>238</v>
      </c>
      <c r="D97" s="412">
        <f>Gumigyár!K50</f>
        <v>418.5</v>
      </c>
    </row>
    <row r="98" spans="1:4" ht="15.75">
      <c r="A98" s="38">
        <f t="shared" si="1"/>
        <v>97</v>
      </c>
      <c r="B98" s="408" t="s">
        <v>180</v>
      </c>
      <c r="C98" s="40" t="s">
        <v>272</v>
      </c>
      <c r="D98" s="412">
        <f>Partiscum!K51</f>
        <v>418.46666666666664</v>
      </c>
    </row>
    <row r="99" spans="1:4" ht="15.75">
      <c r="A99" s="38">
        <f t="shared" si="1"/>
        <v>98</v>
      </c>
      <c r="B99" s="408" t="s">
        <v>114</v>
      </c>
      <c r="C99" s="40" t="s">
        <v>195</v>
      </c>
      <c r="D99" s="412">
        <f>GLB!J51</f>
        <v>418.0769230769231</v>
      </c>
    </row>
    <row r="100" spans="1:4" ht="15.75">
      <c r="A100" s="38">
        <f t="shared" si="1"/>
        <v>99</v>
      </c>
      <c r="B100" s="409" t="s">
        <v>198</v>
      </c>
      <c r="C100" s="408" t="s">
        <v>241</v>
      </c>
      <c r="D100" s="412">
        <f>'Vörös Ördögök'!H50</f>
        <v>416.5</v>
      </c>
    </row>
    <row r="101" spans="1:4" ht="15.75">
      <c r="A101" s="38">
        <f t="shared" si="1"/>
        <v>100</v>
      </c>
      <c r="B101" s="408" t="s">
        <v>166</v>
      </c>
      <c r="C101" s="40" t="s">
        <v>272</v>
      </c>
      <c r="D101" s="412">
        <f>Partiscum!C51</f>
        <v>416.26666666666665</v>
      </c>
    </row>
    <row r="102" spans="1:4" ht="15.75">
      <c r="A102" s="38">
        <f t="shared" si="1"/>
        <v>101</v>
      </c>
      <c r="B102" s="408" t="s">
        <v>160</v>
      </c>
      <c r="C102" s="40" t="s">
        <v>197</v>
      </c>
      <c r="D102" s="412">
        <f>'Fa-Team'!F51</f>
        <v>414.90909090909093</v>
      </c>
    </row>
    <row r="103" spans="1:4" ht="15.75">
      <c r="A103" s="38">
        <f t="shared" si="1"/>
        <v>102</v>
      </c>
      <c r="B103" s="408" t="s">
        <v>164</v>
      </c>
      <c r="C103" s="408" t="s">
        <v>17</v>
      </c>
      <c r="D103" s="412">
        <f>Privát!I50</f>
        <v>414.8888888888889</v>
      </c>
    </row>
    <row r="104" spans="1:4" ht="15.75">
      <c r="A104" s="38">
        <f t="shared" si="1"/>
        <v>103</v>
      </c>
      <c r="B104" s="408" t="s">
        <v>66</v>
      </c>
      <c r="C104" s="40" t="s">
        <v>195</v>
      </c>
      <c r="D104" s="412">
        <f>GLB!I51</f>
        <v>414.75</v>
      </c>
    </row>
    <row r="105" spans="1:4" ht="15.75">
      <c r="A105" s="38">
        <f t="shared" si="1"/>
        <v>104</v>
      </c>
      <c r="B105" s="408" t="s">
        <v>31</v>
      </c>
      <c r="C105" s="40" t="s">
        <v>272</v>
      </c>
      <c r="D105" s="412">
        <f>Partiscum!M51</f>
        <v>414.5</v>
      </c>
    </row>
    <row r="106" spans="1:4" ht="15.75">
      <c r="A106" s="38">
        <f t="shared" si="1"/>
        <v>105</v>
      </c>
      <c r="B106" s="409" t="s">
        <v>58</v>
      </c>
      <c r="C106" s="409" t="s">
        <v>19</v>
      </c>
      <c r="D106" s="412">
        <f>Szefo!G50</f>
        <v>414.2857142857143</v>
      </c>
    </row>
    <row r="107" spans="1:4" ht="15.75">
      <c r="A107" s="38">
        <f t="shared" si="1"/>
        <v>106</v>
      </c>
      <c r="B107" s="408" t="s">
        <v>142</v>
      </c>
      <c r="C107" s="40" t="s">
        <v>197</v>
      </c>
      <c r="D107" s="412">
        <f>'Fa-Team'!I51</f>
        <v>413</v>
      </c>
    </row>
    <row r="108" spans="1:4" ht="15.75">
      <c r="A108" s="38">
        <f t="shared" si="1"/>
        <v>107</v>
      </c>
      <c r="B108" s="408" t="s">
        <v>111</v>
      </c>
      <c r="C108" s="408" t="s">
        <v>15</v>
      </c>
      <c r="D108" s="412">
        <f>Tápé!J51</f>
        <v>412</v>
      </c>
    </row>
    <row r="109" spans="1:4" ht="15.75">
      <c r="A109" s="38">
        <f t="shared" si="1"/>
        <v>108</v>
      </c>
      <c r="B109" s="408" t="s">
        <v>140</v>
      </c>
      <c r="C109" s="40" t="s">
        <v>272</v>
      </c>
      <c r="D109" s="412">
        <f>Partiscum!J51</f>
        <v>411.875</v>
      </c>
    </row>
    <row r="110" spans="1:4" ht="15.75">
      <c r="A110" s="38">
        <f t="shared" si="1"/>
        <v>109</v>
      </c>
      <c r="B110" s="409" t="s">
        <v>200</v>
      </c>
      <c r="C110" s="40" t="s">
        <v>196</v>
      </c>
      <c r="D110" s="412">
        <f>Euroteke!E50</f>
        <v>411.3125</v>
      </c>
    </row>
    <row r="111" spans="1:4" ht="15.75">
      <c r="A111" s="38">
        <f t="shared" si="1"/>
        <v>110</v>
      </c>
      <c r="B111" s="409" t="s">
        <v>115</v>
      </c>
      <c r="C111" s="409" t="s">
        <v>19</v>
      </c>
      <c r="D111" s="412">
        <f>Szefo!J50</f>
        <v>410.6363636363636</v>
      </c>
    </row>
    <row r="112" spans="1:4" ht="15.75">
      <c r="A112" s="38">
        <f t="shared" si="1"/>
        <v>111</v>
      </c>
      <c r="B112" s="408" t="s">
        <v>92</v>
      </c>
      <c r="C112" s="40" t="s">
        <v>197</v>
      </c>
      <c r="D112" s="412">
        <f>'Fa-Team'!H51</f>
        <v>410.5625</v>
      </c>
    </row>
    <row r="113" spans="1:4" ht="15.75">
      <c r="A113" s="38">
        <f t="shared" si="1"/>
        <v>112</v>
      </c>
      <c r="B113" s="408" t="s">
        <v>62</v>
      </c>
      <c r="C113" s="409" t="s">
        <v>242</v>
      </c>
      <c r="D113" s="413">
        <f>'Amazonok és Titánok'!E50</f>
        <v>410</v>
      </c>
    </row>
    <row r="114" spans="1:4" ht="15.75">
      <c r="A114" s="38">
        <f t="shared" si="1"/>
        <v>113</v>
      </c>
      <c r="B114" s="408" t="s">
        <v>65</v>
      </c>
      <c r="C114" s="40" t="s">
        <v>197</v>
      </c>
      <c r="D114" s="412">
        <f>'Fa-Team'!D51</f>
        <v>409.375</v>
      </c>
    </row>
    <row r="115" spans="1:4" ht="15.75">
      <c r="A115" s="38">
        <f t="shared" si="1"/>
        <v>114</v>
      </c>
      <c r="B115" s="408" t="s">
        <v>68</v>
      </c>
      <c r="C115" s="408" t="s">
        <v>22</v>
      </c>
      <c r="D115" s="412">
        <f>Santé!D50</f>
        <v>409.27272727272725</v>
      </c>
    </row>
    <row r="116" spans="1:4" ht="15.75">
      <c r="A116" s="38">
        <f t="shared" si="1"/>
        <v>115</v>
      </c>
      <c r="B116" s="409" t="s">
        <v>280</v>
      </c>
      <c r="C116" s="40" t="s">
        <v>196</v>
      </c>
      <c r="D116" s="412">
        <f>Euroteke!K50</f>
        <v>404.5</v>
      </c>
    </row>
    <row r="117" spans="1:4" ht="15.75">
      <c r="A117" s="38">
        <f t="shared" si="1"/>
        <v>116</v>
      </c>
      <c r="B117" s="408" t="s">
        <v>121</v>
      </c>
      <c r="C117" s="40" t="s">
        <v>298</v>
      </c>
      <c r="D117" s="56">
        <f>Postás!L51</f>
        <v>403.5</v>
      </c>
    </row>
    <row r="118" spans="1:4" ht="15.75">
      <c r="A118" s="38">
        <f t="shared" si="1"/>
        <v>117</v>
      </c>
      <c r="B118" s="408" t="s">
        <v>97</v>
      </c>
      <c r="C118" s="40" t="s">
        <v>298</v>
      </c>
      <c r="D118" s="56">
        <f>Postás!J51</f>
        <v>402.8333333333333</v>
      </c>
    </row>
    <row r="119" spans="1:4" ht="15.75">
      <c r="A119" s="38">
        <f t="shared" si="1"/>
        <v>118</v>
      </c>
      <c r="B119" s="408" t="s">
        <v>56</v>
      </c>
      <c r="C119" s="40" t="s">
        <v>20</v>
      </c>
      <c r="D119" s="412">
        <f>'Dél Akku'!G50</f>
        <v>402.27272727272725</v>
      </c>
    </row>
    <row r="120" spans="1:4" ht="15.75">
      <c r="A120" s="38">
        <f t="shared" si="1"/>
        <v>119</v>
      </c>
      <c r="B120" s="100" t="s">
        <v>116</v>
      </c>
      <c r="C120" s="40" t="s">
        <v>272</v>
      </c>
      <c r="D120" s="412">
        <f>Partiscum!E51</f>
        <v>401.6666666666667</v>
      </c>
    </row>
    <row r="121" spans="1:4" ht="15.75">
      <c r="A121" s="38">
        <f t="shared" si="1"/>
        <v>120</v>
      </c>
      <c r="B121" s="408" t="s">
        <v>83</v>
      </c>
      <c r="C121" s="40" t="s">
        <v>298</v>
      </c>
      <c r="D121" s="56">
        <f>Postás!D51</f>
        <v>401.55555555555554</v>
      </c>
    </row>
    <row r="122" spans="1:4" ht="15.75">
      <c r="A122" s="38">
        <f t="shared" si="1"/>
        <v>121</v>
      </c>
      <c r="B122" s="100" t="s">
        <v>305</v>
      </c>
      <c r="C122" s="40" t="s">
        <v>20</v>
      </c>
      <c r="D122" s="412">
        <f>'Dél Akku'!K50</f>
        <v>401</v>
      </c>
    </row>
    <row r="123" spans="1:4" ht="15.75">
      <c r="A123" s="38">
        <f t="shared" si="1"/>
        <v>122</v>
      </c>
      <c r="B123" s="409" t="s">
        <v>106</v>
      </c>
      <c r="C123" s="409" t="s">
        <v>19</v>
      </c>
      <c r="D123" s="412">
        <f>Szefo!I50</f>
        <v>400</v>
      </c>
    </row>
    <row r="124" spans="1:4" ht="15.75">
      <c r="A124" s="38">
        <f t="shared" si="1"/>
        <v>123</v>
      </c>
      <c r="B124" s="409" t="s">
        <v>199</v>
      </c>
      <c r="C124" s="40" t="s">
        <v>196</v>
      </c>
      <c r="D124" s="412">
        <f>Euroteke!C50</f>
        <v>399.6666666666667</v>
      </c>
    </row>
    <row r="125" spans="1:4" ht="15.75">
      <c r="A125" s="38">
        <f t="shared" si="1"/>
        <v>124</v>
      </c>
      <c r="B125" s="408" t="s">
        <v>283</v>
      </c>
      <c r="C125" s="40" t="s">
        <v>197</v>
      </c>
      <c r="D125" s="412">
        <f>'Fa-Team'!J51</f>
        <v>398.3125</v>
      </c>
    </row>
    <row r="126" spans="1:4" ht="15.75">
      <c r="A126" s="38">
        <f t="shared" si="1"/>
        <v>125</v>
      </c>
      <c r="B126" s="409" t="s">
        <v>203</v>
      </c>
      <c r="C126" s="40" t="s">
        <v>196</v>
      </c>
      <c r="D126" s="412">
        <f>Euroteke!I50</f>
        <v>398.3076923076923</v>
      </c>
    </row>
    <row r="127" spans="1:4" ht="15.75">
      <c r="A127" s="38">
        <f t="shared" si="1"/>
        <v>126</v>
      </c>
      <c r="B127" s="408" t="s">
        <v>112</v>
      </c>
      <c r="C127" s="40" t="s">
        <v>20</v>
      </c>
      <c r="D127" s="412">
        <f>'Dél Akku'!I50</f>
        <v>397.5</v>
      </c>
    </row>
    <row r="128" spans="1:4" ht="15.75">
      <c r="A128" s="38">
        <f t="shared" si="1"/>
        <v>127</v>
      </c>
      <c r="B128" s="408" t="s">
        <v>247</v>
      </c>
      <c r="C128" s="408" t="s">
        <v>17</v>
      </c>
      <c r="D128" s="412">
        <f>Privát!L50</f>
        <v>397</v>
      </c>
    </row>
    <row r="129" spans="1:4" ht="15.75">
      <c r="A129" s="38">
        <f t="shared" si="1"/>
        <v>128</v>
      </c>
      <c r="B129" s="408" t="s">
        <v>117</v>
      </c>
      <c r="C129" s="408" t="s">
        <v>25</v>
      </c>
      <c r="D129" s="412">
        <f>Kinizsi!L50</f>
        <v>396.25</v>
      </c>
    </row>
    <row r="130" spans="1:4" ht="15.75">
      <c r="A130" s="38">
        <f t="shared" si="1"/>
        <v>129</v>
      </c>
      <c r="B130" s="409" t="s">
        <v>297</v>
      </c>
      <c r="C130" s="408" t="s">
        <v>22</v>
      </c>
      <c r="D130" s="413">
        <f>Santé!J50</f>
        <v>395.4</v>
      </c>
    </row>
    <row r="131" spans="1:4" ht="15.75">
      <c r="A131" s="38">
        <f t="shared" si="1"/>
        <v>130</v>
      </c>
      <c r="B131" s="409" t="s">
        <v>304</v>
      </c>
      <c r="C131" s="408" t="s">
        <v>22</v>
      </c>
      <c r="D131" s="413">
        <f>Santé!I50</f>
        <v>395</v>
      </c>
    </row>
    <row r="132" spans="1:4" ht="15.75">
      <c r="A132" s="38">
        <f aca="true" t="shared" si="2" ref="A132:A171">A131+1</f>
        <v>131</v>
      </c>
      <c r="B132" s="409" t="s">
        <v>202</v>
      </c>
      <c r="C132" s="40" t="s">
        <v>196</v>
      </c>
      <c r="D132" s="412">
        <f>Euroteke!L50</f>
        <v>394.8888888888889</v>
      </c>
    </row>
    <row r="133" spans="1:4" ht="15.75">
      <c r="A133" s="38">
        <f t="shared" si="2"/>
        <v>132</v>
      </c>
      <c r="B133" s="408" t="s">
        <v>293</v>
      </c>
      <c r="C133" s="408" t="s">
        <v>238</v>
      </c>
      <c r="D133" s="412">
        <f>Gumigyár!L50</f>
        <v>394.1666666666667</v>
      </c>
    </row>
    <row r="134" spans="1:4" ht="15.75">
      <c r="A134" s="38">
        <f t="shared" si="2"/>
        <v>133</v>
      </c>
      <c r="B134" s="408" t="s">
        <v>279</v>
      </c>
      <c r="C134" s="40" t="s">
        <v>196</v>
      </c>
      <c r="D134" s="412">
        <f>Euroteke!G50</f>
        <v>392.1666666666667</v>
      </c>
    </row>
    <row r="135" spans="1:4" ht="15.75">
      <c r="A135" s="38">
        <f t="shared" si="2"/>
        <v>134</v>
      </c>
      <c r="B135" s="408" t="s">
        <v>170</v>
      </c>
      <c r="C135" s="40" t="s">
        <v>272</v>
      </c>
      <c r="D135" s="412">
        <f>Partiscum!I51</f>
        <v>392.0833333333333</v>
      </c>
    </row>
    <row r="136" spans="1:4" ht="15.75">
      <c r="A136" s="38">
        <f t="shared" si="2"/>
        <v>135</v>
      </c>
      <c r="B136" s="408" t="s">
        <v>184</v>
      </c>
      <c r="C136" s="40" t="s">
        <v>298</v>
      </c>
      <c r="D136" s="56">
        <f>Postás!M51</f>
        <v>391.85714285714283</v>
      </c>
    </row>
    <row r="137" spans="1:4" ht="15.75">
      <c r="A137" s="38">
        <f t="shared" si="2"/>
        <v>136</v>
      </c>
      <c r="B137" s="408" t="s">
        <v>167</v>
      </c>
      <c r="C137" s="40" t="s">
        <v>272</v>
      </c>
      <c r="D137" s="412">
        <f>Partiscum!D51</f>
        <v>388.25</v>
      </c>
    </row>
    <row r="138" spans="1:4" ht="15.75">
      <c r="A138" s="38">
        <f t="shared" si="2"/>
        <v>137</v>
      </c>
      <c r="B138" s="408" t="s">
        <v>248</v>
      </c>
      <c r="C138" s="40" t="s">
        <v>298</v>
      </c>
      <c r="D138" s="56">
        <f>Postás!F51</f>
        <v>386.625</v>
      </c>
    </row>
    <row r="139" spans="1:4" ht="15.75">
      <c r="A139" s="38">
        <f t="shared" si="2"/>
        <v>138</v>
      </c>
      <c r="B139" s="408" t="s">
        <v>159</v>
      </c>
      <c r="C139" s="40" t="s">
        <v>197</v>
      </c>
      <c r="D139" s="412">
        <f>'Fa-Team'!E51</f>
        <v>386.53846153846155</v>
      </c>
    </row>
    <row r="140" spans="1:4" ht="15.75">
      <c r="A140" s="38">
        <f t="shared" si="2"/>
        <v>139</v>
      </c>
      <c r="B140" s="408" t="s">
        <v>277</v>
      </c>
      <c r="C140" s="409" t="s">
        <v>242</v>
      </c>
      <c r="D140" s="413">
        <f>'Amazonok és Titánok'!I50</f>
        <v>384.5</v>
      </c>
    </row>
    <row r="141" spans="1:4" ht="15.75">
      <c r="A141" s="38">
        <f t="shared" si="2"/>
        <v>140</v>
      </c>
      <c r="B141" s="408" t="s">
        <v>186</v>
      </c>
      <c r="C141" s="409" t="s">
        <v>192</v>
      </c>
      <c r="D141" s="412">
        <f>'Temesvári Hús'!M51</f>
        <v>382.2</v>
      </c>
    </row>
    <row r="142" spans="1:4" ht="15.75">
      <c r="A142" s="38">
        <f t="shared" si="2"/>
        <v>141</v>
      </c>
      <c r="B142" s="408" t="s">
        <v>165</v>
      </c>
      <c r="C142" s="40" t="s">
        <v>195</v>
      </c>
      <c r="D142" s="412">
        <f>GLB!K51</f>
        <v>381.5</v>
      </c>
    </row>
    <row r="143" spans="1:4" ht="15.75">
      <c r="A143" s="38">
        <f t="shared" si="2"/>
        <v>142</v>
      </c>
      <c r="B143" s="408" t="s">
        <v>284</v>
      </c>
      <c r="C143" s="408" t="s">
        <v>238</v>
      </c>
      <c r="D143" s="413">
        <f>Gumigyár!D50</f>
        <v>379.26666666666665</v>
      </c>
    </row>
    <row r="144" spans="1:4" ht="15.75">
      <c r="A144" s="38">
        <f t="shared" si="2"/>
        <v>143</v>
      </c>
      <c r="B144" s="408" t="s">
        <v>84</v>
      </c>
      <c r="C144" s="40" t="s">
        <v>298</v>
      </c>
      <c r="D144" s="56">
        <f>Postás!E51</f>
        <v>378.3333333333333</v>
      </c>
    </row>
    <row r="145" spans="1:4" ht="15.75">
      <c r="A145" s="38">
        <f t="shared" si="2"/>
        <v>144</v>
      </c>
      <c r="B145" s="408" t="s">
        <v>76</v>
      </c>
      <c r="C145" s="409" t="s">
        <v>192</v>
      </c>
      <c r="D145" s="412">
        <f>'Temesvári Hús'!K51</f>
        <v>366.75</v>
      </c>
    </row>
    <row r="146" spans="1:4" ht="15.75">
      <c r="A146" s="38">
        <f t="shared" si="2"/>
        <v>145</v>
      </c>
      <c r="B146" s="408" t="s">
        <v>89</v>
      </c>
      <c r="C146" s="408" t="s">
        <v>238</v>
      </c>
      <c r="D146" s="412">
        <f>Gumigyár!J50</f>
        <v>361.3333333333333</v>
      </c>
    </row>
    <row r="147" spans="1:4" ht="15.75">
      <c r="A147" s="38">
        <f t="shared" si="2"/>
        <v>146</v>
      </c>
      <c r="B147" s="409" t="s">
        <v>271</v>
      </c>
      <c r="C147" s="40" t="s">
        <v>196</v>
      </c>
      <c r="D147" s="412">
        <f>Euroteke!F50</f>
        <v>359</v>
      </c>
    </row>
    <row r="148" spans="1:4" ht="15.75">
      <c r="A148" s="38">
        <f t="shared" si="2"/>
        <v>147</v>
      </c>
      <c r="B148" s="409" t="s">
        <v>237</v>
      </c>
      <c r="C148" s="40" t="s">
        <v>196</v>
      </c>
      <c r="D148" s="412">
        <f>Euroteke!D50</f>
        <v>356</v>
      </c>
    </row>
    <row r="149" spans="1:4" ht="15.75">
      <c r="A149" s="38">
        <f t="shared" si="2"/>
        <v>148</v>
      </c>
      <c r="B149" s="404" t="s">
        <v>303</v>
      </c>
      <c r="C149" s="40" t="s">
        <v>196</v>
      </c>
      <c r="D149" s="412">
        <f>Euroteke!D50</f>
        <v>356</v>
      </c>
    </row>
    <row r="150" spans="1:4" ht="15.75">
      <c r="A150" s="38">
        <f t="shared" si="2"/>
        <v>149</v>
      </c>
      <c r="B150" s="408" t="s">
        <v>86</v>
      </c>
      <c r="C150" s="408" t="s">
        <v>238</v>
      </c>
      <c r="D150" s="413">
        <f>Gumigyár!E50</f>
        <v>354</v>
      </c>
    </row>
    <row r="151" spans="1:4" ht="15.75">
      <c r="A151" s="38">
        <f t="shared" si="2"/>
        <v>150</v>
      </c>
      <c r="B151" s="408" t="s">
        <v>158</v>
      </c>
      <c r="C151" s="40" t="s">
        <v>197</v>
      </c>
      <c r="D151" s="412">
        <f>'Fa-Team'!C51</f>
        <v>337.5</v>
      </c>
    </row>
    <row r="152" spans="1:4" ht="15.75">
      <c r="A152" s="38">
        <f t="shared" si="2"/>
        <v>151</v>
      </c>
      <c r="B152" s="409" t="s">
        <v>255</v>
      </c>
      <c r="C152" s="408" t="s">
        <v>241</v>
      </c>
      <c r="D152" s="412">
        <f>'Vörös Ördögök'!C50</f>
        <v>188</v>
      </c>
    </row>
    <row r="153" spans="1:4" ht="15.75">
      <c r="A153" s="38">
        <f t="shared" si="2"/>
        <v>152</v>
      </c>
      <c r="B153" s="409" t="s">
        <v>273</v>
      </c>
      <c r="C153" s="40" t="s">
        <v>298</v>
      </c>
      <c r="D153" s="56">
        <f>Postás!G51</f>
        <v>0</v>
      </c>
    </row>
    <row r="154" spans="1:4" ht="15.75">
      <c r="A154" s="38">
        <f t="shared" si="2"/>
        <v>153</v>
      </c>
      <c r="B154" s="408" t="s">
        <v>96</v>
      </c>
      <c r="C154" s="40" t="s">
        <v>298</v>
      </c>
      <c r="D154" s="56">
        <f>Postás!K51</f>
        <v>0</v>
      </c>
    </row>
    <row r="155" spans="1:4" ht="15.75">
      <c r="A155" s="38">
        <f t="shared" si="2"/>
        <v>154</v>
      </c>
      <c r="B155" s="408" t="s">
        <v>270</v>
      </c>
      <c r="C155" s="40" t="s">
        <v>197</v>
      </c>
      <c r="D155" s="412">
        <f>'Fa-Team'!G51</f>
        <v>0</v>
      </c>
    </row>
    <row r="156" spans="1:4" ht="15.75">
      <c r="A156" s="38">
        <f t="shared" si="2"/>
        <v>155</v>
      </c>
      <c r="B156" s="403" t="s">
        <v>265</v>
      </c>
      <c r="C156" s="40" t="s">
        <v>197</v>
      </c>
      <c r="D156" s="412">
        <f>'Fa-Team'!L51</f>
        <v>0</v>
      </c>
    </row>
    <row r="157" spans="1:4" ht="15.75">
      <c r="A157" s="38">
        <f t="shared" si="2"/>
        <v>156</v>
      </c>
      <c r="B157" s="408" t="s">
        <v>35</v>
      </c>
      <c r="C157" s="40" t="s">
        <v>272</v>
      </c>
      <c r="D157" s="412">
        <f>Partiscum!F51</f>
        <v>0</v>
      </c>
    </row>
    <row r="158" spans="1:4" ht="15.75">
      <c r="A158" s="38">
        <f t="shared" si="2"/>
        <v>157</v>
      </c>
      <c r="B158" s="408" t="s">
        <v>72</v>
      </c>
      <c r="C158" s="409" t="s">
        <v>192</v>
      </c>
      <c r="D158" s="412">
        <f>'Temesvári Hús'!D51</f>
        <v>0</v>
      </c>
    </row>
    <row r="159" spans="1:4" ht="15.75">
      <c r="A159" s="38">
        <f t="shared" si="2"/>
        <v>158</v>
      </c>
      <c r="B159" s="408" t="s">
        <v>93</v>
      </c>
      <c r="C159" s="409" t="s">
        <v>192</v>
      </c>
      <c r="D159" s="412">
        <f>'Temesvári Hús'!L51</f>
        <v>0</v>
      </c>
    </row>
    <row r="160" spans="1:4" ht="15.75">
      <c r="A160" s="38">
        <f t="shared" si="2"/>
        <v>159</v>
      </c>
      <c r="B160" s="408" t="s">
        <v>291</v>
      </c>
      <c r="C160" s="40" t="s">
        <v>195</v>
      </c>
      <c r="D160" s="412">
        <f>GLB!G51</f>
        <v>0</v>
      </c>
    </row>
    <row r="161" spans="1:4" ht="15.75">
      <c r="A161" s="38">
        <f t="shared" si="2"/>
        <v>160</v>
      </c>
      <c r="B161" s="408" t="s">
        <v>141</v>
      </c>
      <c r="C161" s="408" t="s">
        <v>15</v>
      </c>
      <c r="D161" s="412">
        <f>Tápé!C51</f>
        <v>0</v>
      </c>
    </row>
    <row r="162" spans="1:4" ht="15.75">
      <c r="A162" s="38">
        <f t="shared" si="2"/>
        <v>161</v>
      </c>
      <c r="B162" s="409" t="s">
        <v>57</v>
      </c>
      <c r="C162" s="409" t="s">
        <v>19</v>
      </c>
      <c r="D162" s="412">
        <f>Szefo!H50</f>
        <v>0</v>
      </c>
    </row>
    <row r="163" spans="1:4" ht="15.75">
      <c r="A163" s="38">
        <f t="shared" si="2"/>
        <v>162</v>
      </c>
      <c r="B163" s="409" t="s">
        <v>289</v>
      </c>
      <c r="C163" s="409" t="s">
        <v>19</v>
      </c>
      <c r="D163" s="412">
        <f>Szefo!L50</f>
        <v>0</v>
      </c>
    </row>
    <row r="164" spans="1:4" ht="15.75">
      <c r="A164" s="38">
        <f t="shared" si="2"/>
        <v>163</v>
      </c>
      <c r="B164" s="408" t="s">
        <v>128</v>
      </c>
      <c r="C164" s="408" t="s">
        <v>18</v>
      </c>
      <c r="D164" s="411">
        <f>'Anro ker'!H51</f>
        <v>0</v>
      </c>
    </row>
    <row r="165" spans="1:4" ht="15.75">
      <c r="A165" s="38">
        <f t="shared" si="2"/>
        <v>164</v>
      </c>
      <c r="B165" s="408" t="s">
        <v>296</v>
      </c>
      <c r="C165" s="408" t="s">
        <v>238</v>
      </c>
      <c r="D165" s="413">
        <f>Gumigyár!F50</f>
        <v>0</v>
      </c>
    </row>
    <row r="166" spans="1:4" ht="15.75">
      <c r="A166" s="38">
        <f t="shared" si="2"/>
        <v>165</v>
      </c>
      <c r="B166" s="408" t="s">
        <v>181</v>
      </c>
      <c r="C166" s="408" t="s">
        <v>238</v>
      </c>
      <c r="D166" s="413">
        <f>Gumigyár!G50</f>
        <v>0</v>
      </c>
    </row>
    <row r="167" spans="1:4" ht="15.75">
      <c r="A167" s="38">
        <f t="shared" si="2"/>
        <v>166</v>
      </c>
      <c r="B167" s="408" t="s">
        <v>182</v>
      </c>
      <c r="C167" s="408" t="s">
        <v>238</v>
      </c>
      <c r="D167" s="412">
        <f>Gumigyár!M50</f>
        <v>0</v>
      </c>
    </row>
    <row r="168" spans="1:4" ht="15.75">
      <c r="A168" s="38">
        <f t="shared" si="2"/>
        <v>167</v>
      </c>
      <c r="B168" s="408" t="s">
        <v>42</v>
      </c>
      <c r="C168" s="408" t="s">
        <v>25</v>
      </c>
      <c r="D168" s="412">
        <f>Kinizsi!H50</f>
        <v>0</v>
      </c>
    </row>
    <row r="169" spans="1:4" ht="15.75">
      <c r="A169" s="38">
        <f t="shared" si="2"/>
        <v>168</v>
      </c>
      <c r="B169" s="408" t="s">
        <v>262</v>
      </c>
      <c r="C169" s="408" t="s">
        <v>25</v>
      </c>
      <c r="D169" s="412">
        <f>Kinizsi!K50</f>
        <v>0</v>
      </c>
    </row>
    <row r="170" spans="1:4" ht="15.75">
      <c r="A170" s="38">
        <f t="shared" si="2"/>
        <v>169</v>
      </c>
      <c r="B170" s="408" t="s">
        <v>98</v>
      </c>
      <c r="C170" s="408" t="s">
        <v>194</v>
      </c>
      <c r="D170" s="412">
        <f>Kalmár!C50</f>
        <v>0</v>
      </c>
    </row>
    <row r="171" spans="1:4" ht="15.75">
      <c r="A171" s="38">
        <f t="shared" si="2"/>
        <v>170</v>
      </c>
      <c r="B171" s="408" t="s">
        <v>103</v>
      </c>
      <c r="C171" s="408" t="s">
        <v>194</v>
      </c>
      <c r="D171" s="413">
        <f>Kalmár!H50</f>
        <v>0</v>
      </c>
    </row>
    <row r="172" spans="1:4" ht="15.75">
      <c r="A172" s="38">
        <v>171</v>
      </c>
      <c r="B172" s="410" t="s">
        <v>246</v>
      </c>
      <c r="C172" s="408" t="s">
        <v>194</v>
      </c>
      <c r="D172" s="413">
        <f>Kalmár!M50</f>
        <v>0</v>
      </c>
    </row>
    <row r="173" spans="1:4" ht="15.75">
      <c r="A173" s="38">
        <v>172</v>
      </c>
      <c r="B173" s="410" t="s">
        <v>36</v>
      </c>
      <c r="C173" s="409" t="s">
        <v>242</v>
      </c>
      <c r="D173" s="413">
        <f>'Amazonok és Titánok'!C50</f>
        <v>0</v>
      </c>
    </row>
    <row r="174" spans="1:4" ht="15.75">
      <c r="A174" s="38">
        <v>173</v>
      </c>
      <c r="B174" s="408" t="s">
        <v>278</v>
      </c>
      <c r="C174" s="409" t="s">
        <v>242</v>
      </c>
      <c r="D174" s="413">
        <f>'Amazonok és Titánok'!D50</f>
        <v>0</v>
      </c>
    </row>
    <row r="175" spans="1:4" ht="15.75">
      <c r="A175" s="38">
        <v>174</v>
      </c>
      <c r="B175" s="408" t="s">
        <v>233</v>
      </c>
      <c r="C175" s="409" t="s">
        <v>242</v>
      </c>
      <c r="D175" s="413">
        <f>'Amazonok és Titánok'!G50</f>
        <v>0</v>
      </c>
    </row>
    <row r="176" spans="1:4" ht="15.75">
      <c r="A176" s="38">
        <v>175</v>
      </c>
      <c r="B176" s="408" t="s">
        <v>292</v>
      </c>
      <c r="C176" s="409" t="s">
        <v>242</v>
      </c>
      <c r="D176" s="413">
        <f>'Amazonok és Titánok'!H50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V53"/>
  <sheetViews>
    <sheetView zoomScale="90" zoomScaleNormal="90" zoomScalePageLayoutView="0" workbookViewId="0" topLeftCell="C27">
      <selection activeCell="K47" sqref="I47:K47"/>
    </sheetView>
  </sheetViews>
  <sheetFormatPr defaultColWidth="9.00390625" defaultRowHeight="12.75"/>
  <cols>
    <col min="1" max="1" width="11.25390625" style="1" bestFit="1" customWidth="1"/>
    <col min="2" max="2" width="20.625" style="1" customWidth="1"/>
    <col min="3" max="3" width="11.625" style="1" customWidth="1"/>
    <col min="4" max="4" width="10.75390625" style="1" customWidth="1"/>
    <col min="5" max="5" width="11.75390625" style="1" customWidth="1"/>
    <col min="6" max="6" width="10.875" style="1" customWidth="1"/>
    <col min="7" max="7" width="10.375" style="1" customWidth="1"/>
    <col min="8" max="8" width="9.75390625" style="1" customWidth="1"/>
    <col min="9" max="9" width="11.00390625" style="1" customWidth="1"/>
    <col min="10" max="10" width="11.875" style="1" customWidth="1"/>
    <col min="11" max="12" width="8.875" style="1" customWidth="1"/>
    <col min="13" max="13" width="11.00390625" style="1" customWidth="1"/>
    <col min="14" max="14" width="17.125" style="1" customWidth="1"/>
    <col min="15" max="15" width="11.25390625" style="1" customWidth="1"/>
    <col min="16" max="16" width="10.375" style="1" customWidth="1"/>
    <col min="17" max="17" width="13.375" style="1" customWidth="1"/>
    <col min="18" max="18" width="12.375" style="1" customWidth="1"/>
    <col min="19" max="19" width="11.00390625" style="0" customWidth="1"/>
    <col min="20" max="20" width="14.125" style="0" customWidth="1"/>
    <col min="21" max="21" width="12.875" style="0" customWidth="1"/>
  </cols>
  <sheetData>
    <row r="1" spans="1:15" ht="15.75">
      <c r="A1" s="48" t="s">
        <v>133</v>
      </c>
      <c r="B1" s="49"/>
      <c r="C1" s="49" t="s">
        <v>139</v>
      </c>
      <c r="D1" s="49" t="s">
        <v>131</v>
      </c>
      <c r="E1" s="459" t="s">
        <v>135</v>
      </c>
      <c r="F1" s="459"/>
      <c r="H1" s="455" t="s">
        <v>143</v>
      </c>
      <c r="I1" s="455"/>
      <c r="J1" s="11" t="s">
        <v>144</v>
      </c>
      <c r="K1" s="455" t="s">
        <v>118</v>
      </c>
      <c r="L1" s="455"/>
      <c r="M1" s="455"/>
      <c r="N1" s="1" t="s">
        <v>120</v>
      </c>
      <c r="O1" s="18">
        <f>N26/T26</f>
        <v>2609.375</v>
      </c>
    </row>
    <row r="2" spans="8:15" ht="15.75">
      <c r="H2" s="1">
        <f>O26+O48</f>
        <v>170</v>
      </c>
      <c r="I2" s="1">
        <f>P26+P48</f>
        <v>86</v>
      </c>
      <c r="J2" s="38">
        <f>R26+R48</f>
        <v>52</v>
      </c>
      <c r="K2" s="460">
        <f>H2-I2</f>
        <v>84</v>
      </c>
      <c r="L2" s="460"/>
      <c r="M2" s="460"/>
      <c r="N2" s="1" t="s">
        <v>216</v>
      </c>
      <c r="O2" s="6">
        <f>N6+N8+N10+N12+N14+N16+N20+N21+N22+N32+N34+N36+N41+N43+N45+N47</f>
        <v>41298</v>
      </c>
    </row>
    <row r="4" spans="3:21" ht="15.75">
      <c r="C4" s="461" t="s">
        <v>26</v>
      </c>
      <c r="D4" s="461"/>
      <c r="E4" s="461"/>
      <c r="F4" s="461"/>
      <c r="G4" s="461"/>
      <c r="H4" s="461"/>
      <c r="I4" s="461"/>
      <c r="J4" s="461"/>
      <c r="K4" s="3"/>
      <c r="L4" s="3"/>
      <c r="M4" s="3"/>
      <c r="O4" s="461" t="s">
        <v>27</v>
      </c>
      <c r="P4" s="461"/>
      <c r="S4" s="2"/>
      <c r="T4" s="2"/>
      <c r="U4" s="2"/>
    </row>
    <row r="5" spans="2:21" ht="32.25" thickBot="1">
      <c r="B5" s="3" t="s">
        <v>24</v>
      </c>
      <c r="C5" s="8" t="s">
        <v>98</v>
      </c>
      <c r="D5" s="8" t="s">
        <v>100</v>
      </c>
      <c r="E5" s="8" t="s">
        <v>101</v>
      </c>
      <c r="F5" s="8" t="s">
        <v>102</v>
      </c>
      <c r="G5" s="8" t="s">
        <v>99</v>
      </c>
      <c r="H5" s="8" t="s">
        <v>103</v>
      </c>
      <c r="I5" s="8" t="s">
        <v>127</v>
      </c>
      <c r="J5" s="8" t="s">
        <v>171</v>
      </c>
      <c r="K5" s="151" t="s">
        <v>206</v>
      </c>
      <c r="L5" s="151"/>
      <c r="M5" s="180" t="s">
        <v>246</v>
      </c>
      <c r="N5" s="3" t="s">
        <v>29</v>
      </c>
      <c r="O5" s="3" t="s">
        <v>16</v>
      </c>
      <c r="P5" s="3" t="s">
        <v>28</v>
      </c>
      <c r="Q5" s="3" t="s">
        <v>30</v>
      </c>
      <c r="R5" s="10" t="s">
        <v>108</v>
      </c>
      <c r="S5" s="2" t="s">
        <v>174</v>
      </c>
      <c r="T5" s="2" t="s">
        <v>175</v>
      </c>
      <c r="U5" s="2" t="s">
        <v>176</v>
      </c>
    </row>
    <row r="6" spans="1:20" s="27" customFormat="1" ht="15.75">
      <c r="A6" s="25" t="s">
        <v>0</v>
      </c>
      <c r="B6" s="35" t="s">
        <v>21</v>
      </c>
      <c r="C6" s="47"/>
      <c r="D6" s="47"/>
      <c r="E6" s="47">
        <v>196</v>
      </c>
      <c r="F6" s="47">
        <v>387</v>
      </c>
      <c r="G6" s="47">
        <v>392</v>
      </c>
      <c r="H6" s="47">
        <v>193</v>
      </c>
      <c r="I6" s="202">
        <v>430</v>
      </c>
      <c r="J6" s="202">
        <v>452</v>
      </c>
      <c r="K6" s="47"/>
      <c r="L6" s="47"/>
      <c r="M6" s="244">
        <v>440</v>
      </c>
      <c r="N6" s="245">
        <f aca="true" t="shared" si="0" ref="N6:N17">SUM(C6:M6)</f>
        <v>2490</v>
      </c>
      <c r="O6" s="47">
        <v>5</v>
      </c>
      <c r="P6" s="47">
        <v>3</v>
      </c>
      <c r="Q6" s="47">
        <v>61</v>
      </c>
      <c r="R6" s="47">
        <v>2</v>
      </c>
      <c r="S6" s="47">
        <v>1</v>
      </c>
      <c r="T6" s="47"/>
    </row>
    <row r="7" spans="1:21" s="106" customFormat="1" ht="15.75">
      <c r="A7" s="19" t="s">
        <v>1</v>
      </c>
      <c r="B7" s="34" t="s">
        <v>20</v>
      </c>
      <c r="C7" s="102"/>
      <c r="D7" s="34"/>
      <c r="E7" s="34">
        <v>447</v>
      </c>
      <c r="F7" s="34"/>
      <c r="G7" s="34">
        <v>446</v>
      </c>
      <c r="H7" s="34"/>
      <c r="I7" s="250">
        <v>463</v>
      </c>
      <c r="J7" s="261">
        <v>449</v>
      </c>
      <c r="K7" s="261">
        <v>474</v>
      </c>
      <c r="L7" s="261"/>
      <c r="M7" s="275">
        <v>492</v>
      </c>
      <c r="N7" s="113">
        <f t="shared" si="0"/>
        <v>2771</v>
      </c>
      <c r="O7" s="103">
        <v>6</v>
      </c>
      <c r="P7" s="103">
        <v>2</v>
      </c>
      <c r="Q7" s="113">
        <v>250</v>
      </c>
      <c r="R7" s="103">
        <v>2</v>
      </c>
      <c r="S7" s="114">
        <v>1</v>
      </c>
      <c r="T7" s="114"/>
      <c r="U7" s="114"/>
    </row>
    <row r="8" spans="1:21" s="91" customFormat="1" ht="15.75">
      <c r="A8" s="87" t="s">
        <v>2</v>
      </c>
      <c r="B8" s="93" t="s">
        <v>22</v>
      </c>
      <c r="C8" s="27"/>
      <c r="D8" s="35">
        <v>424</v>
      </c>
      <c r="E8" s="35">
        <v>426</v>
      </c>
      <c r="F8" s="35"/>
      <c r="G8" s="202">
        <v>444</v>
      </c>
      <c r="H8" s="202">
        <v>429</v>
      </c>
      <c r="I8" s="35"/>
      <c r="J8" s="39"/>
      <c r="K8" s="252">
        <v>448</v>
      </c>
      <c r="L8" s="252"/>
      <c r="M8" s="326">
        <v>445</v>
      </c>
      <c r="N8" s="86">
        <f t="shared" si="0"/>
        <v>2616</v>
      </c>
      <c r="O8" s="87">
        <v>6</v>
      </c>
      <c r="P8" s="87">
        <v>2</v>
      </c>
      <c r="Q8" s="87">
        <v>44</v>
      </c>
      <c r="R8" s="87">
        <v>2</v>
      </c>
      <c r="S8" s="90">
        <v>1</v>
      </c>
      <c r="T8" s="90"/>
      <c r="U8" s="90"/>
    </row>
    <row r="9" spans="1:21" s="106" customFormat="1" ht="15.75">
      <c r="A9" s="19" t="s">
        <v>3</v>
      </c>
      <c r="B9" s="34" t="s">
        <v>195</v>
      </c>
      <c r="C9" s="85"/>
      <c r="D9" s="95">
        <v>412</v>
      </c>
      <c r="E9" s="201">
        <v>463</v>
      </c>
      <c r="F9" s="95"/>
      <c r="G9" s="201">
        <v>445</v>
      </c>
      <c r="H9" s="95">
        <v>377</v>
      </c>
      <c r="I9" s="95"/>
      <c r="J9" s="267">
        <v>421</v>
      </c>
      <c r="K9" s="99"/>
      <c r="L9" s="99"/>
      <c r="M9" s="268">
        <v>468</v>
      </c>
      <c r="N9" s="113">
        <f t="shared" si="0"/>
        <v>2586</v>
      </c>
      <c r="O9" s="103">
        <v>6</v>
      </c>
      <c r="P9" s="103">
        <v>2</v>
      </c>
      <c r="Q9" s="103">
        <v>77</v>
      </c>
      <c r="R9" s="103">
        <v>2</v>
      </c>
      <c r="S9" s="114">
        <v>1</v>
      </c>
      <c r="T9" s="114"/>
      <c r="U9" s="114"/>
    </row>
    <row r="10" spans="1:21" s="27" customFormat="1" ht="15.75">
      <c r="A10" s="193" t="s">
        <v>4</v>
      </c>
      <c r="B10" s="35" t="s">
        <v>196</v>
      </c>
      <c r="C10" s="91"/>
      <c r="D10" s="93">
        <v>393</v>
      </c>
      <c r="E10" s="203">
        <v>448</v>
      </c>
      <c r="F10" s="93"/>
      <c r="G10" s="203">
        <v>411</v>
      </c>
      <c r="H10" s="93"/>
      <c r="I10" s="93"/>
      <c r="J10" s="337">
        <v>438</v>
      </c>
      <c r="K10" s="337">
        <v>428</v>
      </c>
      <c r="L10" s="337"/>
      <c r="M10" s="118">
        <v>368</v>
      </c>
      <c r="N10" s="192">
        <f t="shared" si="0"/>
        <v>2486</v>
      </c>
      <c r="O10" s="193">
        <v>6</v>
      </c>
      <c r="P10" s="193">
        <v>2</v>
      </c>
      <c r="Q10" s="192">
        <f>N10-2302</f>
        <v>184</v>
      </c>
      <c r="R10" s="193">
        <v>2</v>
      </c>
      <c r="S10" s="26">
        <v>1</v>
      </c>
      <c r="T10" s="26"/>
      <c r="U10" s="26"/>
    </row>
    <row r="11" spans="1:21" s="106" customFormat="1" ht="15.75">
      <c r="A11" s="19" t="s">
        <v>5</v>
      </c>
      <c r="B11" s="34" t="s">
        <v>192</v>
      </c>
      <c r="C11" s="85"/>
      <c r="D11" s="95">
        <v>223</v>
      </c>
      <c r="E11" s="95">
        <v>431</v>
      </c>
      <c r="F11" s="95">
        <v>211</v>
      </c>
      <c r="G11" s="95">
        <v>436</v>
      </c>
      <c r="H11" s="95"/>
      <c r="I11" s="201">
        <v>450</v>
      </c>
      <c r="J11" s="267">
        <v>464</v>
      </c>
      <c r="K11" s="99"/>
      <c r="L11" s="99"/>
      <c r="M11" s="268">
        <v>460</v>
      </c>
      <c r="N11" s="113">
        <f t="shared" si="0"/>
        <v>2675</v>
      </c>
      <c r="O11" s="103">
        <v>5</v>
      </c>
      <c r="P11" s="103">
        <v>3</v>
      </c>
      <c r="Q11" s="103">
        <v>3</v>
      </c>
      <c r="R11" s="103">
        <v>2</v>
      </c>
      <c r="S11" s="114">
        <v>1</v>
      </c>
      <c r="T11" s="114"/>
      <c r="U11" s="114"/>
    </row>
    <row r="12" spans="1:21" s="91" customFormat="1" ht="15.75">
      <c r="A12" s="87" t="s">
        <v>6</v>
      </c>
      <c r="B12" s="93" t="s">
        <v>272</v>
      </c>
      <c r="C12" s="27"/>
      <c r="D12" s="202">
        <v>437</v>
      </c>
      <c r="E12" s="202">
        <v>435</v>
      </c>
      <c r="F12" s="35">
        <v>433</v>
      </c>
      <c r="G12" s="202">
        <v>445</v>
      </c>
      <c r="H12" s="35">
        <v>418</v>
      </c>
      <c r="I12" s="35"/>
      <c r="J12" s="252">
        <v>438</v>
      </c>
      <c r="K12" s="39"/>
      <c r="L12" s="39"/>
      <c r="M12" s="33"/>
      <c r="N12" s="86">
        <f t="shared" si="0"/>
        <v>2606</v>
      </c>
      <c r="O12" s="87">
        <v>6</v>
      </c>
      <c r="P12" s="87">
        <v>2</v>
      </c>
      <c r="Q12" s="87">
        <v>85</v>
      </c>
      <c r="R12" s="87">
        <v>2</v>
      </c>
      <c r="S12" s="90">
        <v>1</v>
      </c>
      <c r="T12" s="90"/>
      <c r="U12" s="90"/>
    </row>
    <row r="13" spans="1:21" s="106" customFormat="1" ht="15.75">
      <c r="A13" s="19" t="s">
        <v>7</v>
      </c>
      <c r="B13" s="34" t="s">
        <v>19</v>
      </c>
      <c r="C13" s="85"/>
      <c r="D13" s="95">
        <v>424</v>
      </c>
      <c r="E13" s="201">
        <v>447</v>
      </c>
      <c r="F13" s="95">
        <v>392</v>
      </c>
      <c r="G13" s="201">
        <v>454</v>
      </c>
      <c r="H13" s="95"/>
      <c r="I13" s="95"/>
      <c r="J13" s="267">
        <v>443</v>
      </c>
      <c r="K13" s="99"/>
      <c r="L13" s="99"/>
      <c r="M13" s="268">
        <v>472</v>
      </c>
      <c r="N13" s="113">
        <f t="shared" si="0"/>
        <v>2632</v>
      </c>
      <c r="O13" s="103">
        <v>6</v>
      </c>
      <c r="P13" s="103">
        <v>2</v>
      </c>
      <c r="Q13" s="103">
        <v>87</v>
      </c>
      <c r="R13" s="103">
        <v>2</v>
      </c>
      <c r="S13" s="114">
        <v>1</v>
      </c>
      <c r="T13" s="114"/>
      <c r="U13" s="114"/>
    </row>
    <row r="14" spans="1:21" s="27" customFormat="1" ht="15.75">
      <c r="A14" s="193" t="s">
        <v>8</v>
      </c>
      <c r="B14" s="47" t="s">
        <v>18</v>
      </c>
      <c r="C14" s="91"/>
      <c r="D14" s="203">
        <v>442</v>
      </c>
      <c r="E14" s="203">
        <v>429</v>
      </c>
      <c r="F14" s="93"/>
      <c r="G14" s="93">
        <v>417</v>
      </c>
      <c r="H14" s="93"/>
      <c r="I14" s="93">
        <v>426</v>
      </c>
      <c r="J14" s="337">
        <v>454</v>
      </c>
      <c r="K14" s="101"/>
      <c r="L14" s="101"/>
      <c r="M14" s="248">
        <v>458</v>
      </c>
      <c r="N14" s="192">
        <f t="shared" si="0"/>
        <v>2626</v>
      </c>
      <c r="O14" s="193">
        <v>6</v>
      </c>
      <c r="P14" s="193">
        <v>2</v>
      </c>
      <c r="Q14" s="192">
        <v>52</v>
      </c>
      <c r="R14" s="193">
        <v>2</v>
      </c>
      <c r="S14" s="26">
        <v>1</v>
      </c>
      <c r="T14" s="26"/>
      <c r="U14" s="26"/>
    </row>
    <row r="15" spans="1:21" s="106" customFormat="1" ht="15.75">
      <c r="A15" s="19" t="s">
        <v>9</v>
      </c>
      <c r="B15" s="102" t="s">
        <v>17</v>
      </c>
      <c r="C15" s="85"/>
      <c r="D15" s="95">
        <v>422</v>
      </c>
      <c r="E15" s="201">
        <v>397</v>
      </c>
      <c r="F15" s="95"/>
      <c r="G15" s="201">
        <v>455</v>
      </c>
      <c r="H15" s="95"/>
      <c r="I15" s="201">
        <v>434</v>
      </c>
      <c r="J15" s="99">
        <v>407</v>
      </c>
      <c r="K15" s="99"/>
      <c r="L15" s="99"/>
      <c r="M15" s="268">
        <v>468</v>
      </c>
      <c r="N15" s="113">
        <f t="shared" si="0"/>
        <v>2583</v>
      </c>
      <c r="O15" s="103">
        <v>3</v>
      </c>
      <c r="P15" s="103">
        <v>5</v>
      </c>
      <c r="Q15" s="113">
        <v>-15</v>
      </c>
      <c r="R15" s="103">
        <v>0</v>
      </c>
      <c r="S15" s="114"/>
      <c r="T15" s="114"/>
      <c r="U15" s="114">
        <v>1</v>
      </c>
    </row>
    <row r="16" spans="1:21" s="27" customFormat="1" ht="15.75">
      <c r="A16" s="87" t="s">
        <v>10</v>
      </c>
      <c r="B16" s="97" t="s">
        <v>193</v>
      </c>
      <c r="C16" s="97"/>
      <c r="D16" s="93"/>
      <c r="E16" s="203">
        <v>464</v>
      </c>
      <c r="F16" s="93">
        <v>373</v>
      </c>
      <c r="G16" s="93">
        <v>367</v>
      </c>
      <c r="H16" s="93"/>
      <c r="I16" s="203">
        <v>408</v>
      </c>
      <c r="J16" s="337">
        <v>450</v>
      </c>
      <c r="K16" s="101"/>
      <c r="L16" s="101"/>
      <c r="M16" s="248">
        <v>434</v>
      </c>
      <c r="N16" s="192">
        <f t="shared" si="0"/>
        <v>2496</v>
      </c>
      <c r="O16" s="193">
        <v>6</v>
      </c>
      <c r="P16" s="193">
        <v>2</v>
      </c>
      <c r="Q16" s="192">
        <v>107</v>
      </c>
      <c r="R16" s="193">
        <v>2</v>
      </c>
      <c r="S16" s="26">
        <v>1</v>
      </c>
      <c r="T16" s="26"/>
      <c r="U16" s="26"/>
    </row>
    <row r="17" spans="1:21" s="23" customFormat="1" ht="15.75">
      <c r="A17" s="103" t="s">
        <v>11</v>
      </c>
      <c r="B17" s="108" t="s">
        <v>241</v>
      </c>
      <c r="C17" s="106"/>
      <c r="D17" s="350">
        <v>435</v>
      </c>
      <c r="E17" s="350">
        <v>458</v>
      </c>
      <c r="F17" s="154"/>
      <c r="G17" s="154">
        <v>430</v>
      </c>
      <c r="H17" s="154"/>
      <c r="I17" s="350">
        <v>455</v>
      </c>
      <c r="J17" s="186">
        <v>426</v>
      </c>
      <c r="K17" s="186"/>
      <c r="L17" s="186"/>
      <c r="M17" s="352">
        <v>534</v>
      </c>
      <c r="N17" s="21">
        <f t="shared" si="0"/>
        <v>2738</v>
      </c>
      <c r="O17" s="19">
        <v>6</v>
      </c>
      <c r="P17" s="19">
        <v>2</v>
      </c>
      <c r="Q17" s="21">
        <v>141</v>
      </c>
      <c r="R17" s="19">
        <v>2</v>
      </c>
      <c r="S17" s="22">
        <v>1</v>
      </c>
      <c r="T17" s="22"/>
      <c r="U17" s="22"/>
    </row>
    <row r="18" spans="1:21" s="148" customFormat="1" ht="15.75">
      <c r="A18" s="145" t="s">
        <v>12</v>
      </c>
      <c r="B18" s="149" t="s">
        <v>234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4"/>
      <c r="N18" s="188" t="s">
        <v>234</v>
      </c>
      <c r="O18" s="189"/>
      <c r="P18" s="189"/>
      <c r="Q18" s="190"/>
      <c r="R18" s="189"/>
      <c r="S18" s="191"/>
      <c r="T18" s="191"/>
      <c r="U18" s="191"/>
    </row>
    <row r="19" spans="1:21" s="106" customFormat="1" ht="15.75">
      <c r="A19" s="19" t="s">
        <v>13</v>
      </c>
      <c r="B19" s="102" t="s">
        <v>242</v>
      </c>
      <c r="C19" s="85"/>
      <c r="D19" s="95">
        <v>451</v>
      </c>
      <c r="E19" s="95">
        <v>432</v>
      </c>
      <c r="F19" s="95"/>
      <c r="G19" s="201">
        <v>486</v>
      </c>
      <c r="H19" s="95">
        <v>439</v>
      </c>
      <c r="I19" s="201">
        <v>454</v>
      </c>
      <c r="J19" s="267">
        <v>452</v>
      </c>
      <c r="K19" s="99"/>
      <c r="L19" s="99"/>
      <c r="M19" s="111"/>
      <c r="N19" s="113">
        <f>SUM(C19:M19)</f>
        <v>2714</v>
      </c>
      <c r="O19" s="103">
        <v>5</v>
      </c>
      <c r="P19" s="103">
        <v>3</v>
      </c>
      <c r="Q19" s="113">
        <v>22</v>
      </c>
      <c r="R19" s="103">
        <v>2</v>
      </c>
      <c r="S19" s="114">
        <v>1</v>
      </c>
      <c r="T19" s="114"/>
      <c r="U19" s="114"/>
    </row>
    <row r="20" spans="1:21" s="91" customFormat="1" ht="15.75">
      <c r="A20" s="87" t="s">
        <v>14</v>
      </c>
      <c r="B20" s="97" t="s">
        <v>25</v>
      </c>
      <c r="C20" s="27"/>
      <c r="D20" s="35">
        <v>421</v>
      </c>
      <c r="E20" s="202">
        <v>439</v>
      </c>
      <c r="F20" s="202">
        <v>435</v>
      </c>
      <c r="G20" s="35">
        <v>420</v>
      </c>
      <c r="H20" s="35"/>
      <c r="I20" s="35"/>
      <c r="J20" s="252">
        <v>438</v>
      </c>
      <c r="K20" s="39"/>
      <c r="L20" s="39"/>
      <c r="M20" s="33">
        <v>430</v>
      </c>
      <c r="N20" s="86">
        <f>SUM(C20:M20)</f>
        <v>2583</v>
      </c>
      <c r="O20" s="87">
        <v>3</v>
      </c>
      <c r="P20" s="87">
        <v>5</v>
      </c>
      <c r="Q20" s="86">
        <v>-4</v>
      </c>
      <c r="R20" s="87">
        <v>0</v>
      </c>
      <c r="S20" s="90"/>
      <c r="T20" s="90"/>
      <c r="U20" s="90">
        <v>1</v>
      </c>
    </row>
    <row r="21" spans="1:21" s="27" customFormat="1" ht="15.75">
      <c r="A21" s="25" t="s">
        <v>239</v>
      </c>
      <c r="B21" s="39" t="s">
        <v>238</v>
      </c>
      <c r="C21" s="91"/>
      <c r="D21" s="203">
        <v>224</v>
      </c>
      <c r="E21" s="93">
        <v>412</v>
      </c>
      <c r="F21" s="93">
        <v>395</v>
      </c>
      <c r="G21" s="203">
        <v>426</v>
      </c>
      <c r="H21" s="203">
        <v>433</v>
      </c>
      <c r="I21" s="93"/>
      <c r="J21" s="337">
        <v>452</v>
      </c>
      <c r="K21" s="101"/>
      <c r="L21" s="101"/>
      <c r="M21" s="248">
        <v>205</v>
      </c>
      <c r="N21" s="192">
        <f>SUM(C21:M21)</f>
        <v>2547</v>
      </c>
      <c r="O21" s="193">
        <v>6</v>
      </c>
      <c r="P21" s="193">
        <v>2</v>
      </c>
      <c r="Q21" s="192">
        <v>260</v>
      </c>
      <c r="R21" s="193">
        <v>2</v>
      </c>
      <c r="S21" s="26">
        <v>1</v>
      </c>
      <c r="T21" s="26"/>
      <c r="U21" s="26"/>
    </row>
    <row r="22" spans="1:22" s="231" customFormat="1" ht="16.5" thickBot="1">
      <c r="A22" s="25" t="s">
        <v>240</v>
      </c>
      <c r="B22" s="47" t="s">
        <v>15</v>
      </c>
      <c r="C22" s="98"/>
      <c r="D22" s="361">
        <v>431</v>
      </c>
      <c r="E22" s="94">
        <v>424</v>
      </c>
      <c r="F22" s="94">
        <v>424</v>
      </c>
      <c r="G22" s="361">
        <v>426</v>
      </c>
      <c r="H22" s="94"/>
      <c r="I22" s="361">
        <v>433</v>
      </c>
      <c r="J22" s="361">
        <v>463</v>
      </c>
      <c r="K22" s="94"/>
      <c r="L22" s="94"/>
      <c r="M22" s="362"/>
      <c r="N22" s="363">
        <f>SUM(C22:M22)</f>
        <v>2601</v>
      </c>
      <c r="O22" s="364">
        <v>6</v>
      </c>
      <c r="P22" s="364">
        <v>2</v>
      </c>
      <c r="Q22" s="363">
        <v>86</v>
      </c>
      <c r="R22" s="364">
        <v>2</v>
      </c>
      <c r="S22" s="365">
        <v>1</v>
      </c>
      <c r="T22" s="365"/>
      <c r="U22" s="365"/>
      <c r="V22" s="242"/>
    </row>
    <row r="23" spans="3:21" ht="16.5" thickTop="1">
      <c r="C23" s="6">
        <f>SUM(C6:C17)+SUM(C21:C22)</f>
        <v>0</v>
      </c>
      <c r="D23" s="6">
        <f>SUM(D6:D10)+SUM(D12:D20)+D22</f>
        <v>4692</v>
      </c>
      <c r="E23" s="6">
        <f>SUM(E7:E22)</f>
        <v>6552</v>
      </c>
      <c r="F23" s="6">
        <f>SUM(F6:F10)+SUM(F12:F22)</f>
        <v>2839</v>
      </c>
      <c r="G23" s="6">
        <f>SUM(G6:G22)</f>
        <v>6900</v>
      </c>
      <c r="H23" s="6">
        <f>SUM(H7:H22)</f>
        <v>2096</v>
      </c>
      <c r="I23" s="6">
        <f>SUM(I6:I22)</f>
        <v>3953</v>
      </c>
      <c r="J23" s="6">
        <f>SUM(J6:J22)</f>
        <v>6647</v>
      </c>
      <c r="K23" s="6">
        <f>SUM(K7:K22)</f>
        <v>1350</v>
      </c>
      <c r="L23" s="6"/>
      <c r="M23" s="6">
        <f>SUM(M6:M10)+SUM(M11:M20)+M22</f>
        <v>5469</v>
      </c>
      <c r="S23" s="2">
        <f>SUM(S6:S22)</f>
        <v>14</v>
      </c>
      <c r="T23" s="2">
        <f>SUM(T6:T22)</f>
        <v>0</v>
      </c>
      <c r="U23" s="2">
        <f>SUM(U6:U22)</f>
        <v>2</v>
      </c>
    </row>
    <row r="24" spans="2:21" ht="15.75">
      <c r="B24" s="1" t="s">
        <v>211</v>
      </c>
      <c r="C24" s="6">
        <f>COUNT(C6:C17)+COUNT(C21:C22)</f>
        <v>0</v>
      </c>
      <c r="D24" s="6">
        <f>COUNT(D6:D10)+COUNT(D12:D20)+COUNT(D22)</f>
        <v>11</v>
      </c>
      <c r="E24" s="6">
        <f>COUNT(E7:E22)</f>
        <v>15</v>
      </c>
      <c r="F24" s="6">
        <f>COUNT(F6:F10)+COUNT(F12:F22)</f>
        <v>7</v>
      </c>
      <c r="G24" s="6">
        <f>COUNT(G6:G22)</f>
        <v>16</v>
      </c>
      <c r="H24" s="6">
        <f>COUNT(H7:H22)</f>
        <v>5</v>
      </c>
      <c r="I24" s="6">
        <f>COUNT(I6:I22)</f>
        <v>9</v>
      </c>
      <c r="J24" s="6">
        <f>COUNT(J6:J22)</f>
        <v>15</v>
      </c>
      <c r="K24" s="6">
        <f>COUNT(K7:K22)</f>
        <v>3</v>
      </c>
      <c r="L24" s="6"/>
      <c r="M24" s="6">
        <f>COUNT(M6:M10)+COUNT(M11:M20)+COUNT(M22)</f>
        <v>12</v>
      </c>
      <c r="S24" s="2"/>
      <c r="T24" s="2"/>
      <c r="U24" s="2"/>
    </row>
    <row r="25" spans="2:20" ht="33" customHeight="1">
      <c r="B25" s="11" t="s">
        <v>119</v>
      </c>
      <c r="C25" s="16"/>
      <c r="D25" s="16">
        <f>D23/D24</f>
        <v>426.54545454545456</v>
      </c>
      <c r="E25" s="16">
        <f>E23/E24</f>
        <v>436.8</v>
      </c>
      <c r="F25" s="16">
        <f>F23/F24</f>
        <v>405.57142857142856</v>
      </c>
      <c r="G25" s="16">
        <f>AVERAGE(G6:G22)</f>
        <v>431.25</v>
      </c>
      <c r="H25" s="16">
        <f>H23/H24</f>
        <v>419.2</v>
      </c>
      <c r="I25" s="16">
        <f>AVERAGE(I6:I22)</f>
        <v>439.22222222222223</v>
      </c>
      <c r="J25" s="16">
        <f>AVERAGE(J6:J22)</f>
        <v>443.1333333333333</v>
      </c>
      <c r="K25" s="16">
        <f>AVERAGE(K6:K22)</f>
        <v>450</v>
      </c>
      <c r="L25" s="16"/>
      <c r="M25" s="16">
        <f>M23/M24</f>
        <v>455.75</v>
      </c>
      <c r="N25" s="3" t="s">
        <v>29</v>
      </c>
      <c r="O25" s="461" t="s">
        <v>109</v>
      </c>
      <c r="P25" s="461"/>
      <c r="Q25" s="3" t="s">
        <v>30</v>
      </c>
      <c r="R25" s="10" t="s">
        <v>110</v>
      </c>
      <c r="S25" s="63" t="s">
        <v>118</v>
      </c>
      <c r="T25" s="63" t="s">
        <v>209</v>
      </c>
    </row>
    <row r="26" spans="14:20" ht="15.75">
      <c r="N26" s="6">
        <f>SUM(N6:N22)</f>
        <v>41750</v>
      </c>
      <c r="O26" s="1">
        <f>SUM(O6:O22)</f>
        <v>87</v>
      </c>
      <c r="P26" s="1">
        <f>SUM(P6:P22)</f>
        <v>41</v>
      </c>
      <c r="Q26" s="1">
        <f>SUM(Q6:Q22)</f>
        <v>1440</v>
      </c>
      <c r="R26" s="1">
        <f>SUM(R6:R22)</f>
        <v>28</v>
      </c>
      <c r="S26" s="2">
        <f>O26-P26</f>
        <v>46</v>
      </c>
      <c r="T26" s="2">
        <f>SUM(S23:U23)</f>
        <v>16</v>
      </c>
    </row>
    <row r="27" spans="3:10" ht="15.75">
      <c r="C27" s="463" t="s">
        <v>37</v>
      </c>
      <c r="D27" s="463"/>
      <c r="F27" s="458" t="s">
        <v>124</v>
      </c>
      <c r="G27" s="458"/>
      <c r="I27" s="462" t="s">
        <v>125</v>
      </c>
      <c r="J27" s="462"/>
    </row>
    <row r="28" spans="1:22" ht="16.5" thickBot="1">
      <c r="A28" s="62"/>
      <c r="B28" s="62"/>
      <c r="C28" s="124"/>
      <c r="D28" s="124"/>
      <c r="E28" s="62"/>
      <c r="F28" s="125"/>
      <c r="G28" s="125"/>
      <c r="H28" s="62"/>
      <c r="I28" s="126"/>
      <c r="J28" s="126"/>
      <c r="K28" s="62"/>
      <c r="L28" s="62"/>
      <c r="M28" s="62"/>
      <c r="N28" s="62"/>
      <c r="O28" s="62"/>
      <c r="P28" s="62"/>
      <c r="Q28" s="62"/>
      <c r="R28" s="62"/>
      <c r="S28" s="123"/>
      <c r="T28" s="123"/>
      <c r="U28" s="123"/>
      <c r="V28" s="123"/>
    </row>
    <row r="30" spans="2:21" ht="32.25" thickBot="1">
      <c r="B30" s="3" t="s">
        <v>24</v>
      </c>
      <c r="C30" s="8" t="s">
        <v>98</v>
      </c>
      <c r="D30" s="8" t="s">
        <v>100</v>
      </c>
      <c r="E30" s="8" t="s">
        <v>101</v>
      </c>
      <c r="F30" s="8" t="s">
        <v>73</v>
      </c>
      <c r="G30" s="8" t="s">
        <v>99</v>
      </c>
      <c r="H30" s="8" t="s">
        <v>103</v>
      </c>
      <c r="I30" s="8" t="s">
        <v>127</v>
      </c>
      <c r="J30" s="8" t="s">
        <v>171</v>
      </c>
      <c r="K30" s="151" t="s">
        <v>40</v>
      </c>
      <c r="L30" s="151" t="s">
        <v>237</v>
      </c>
      <c r="M30" s="180" t="s">
        <v>246</v>
      </c>
      <c r="N30" s="3" t="s">
        <v>29</v>
      </c>
      <c r="O30" s="3" t="s">
        <v>16</v>
      </c>
      <c r="P30" s="3" t="s">
        <v>28</v>
      </c>
      <c r="Q30" s="3" t="s">
        <v>30</v>
      </c>
      <c r="R30" s="10" t="s">
        <v>108</v>
      </c>
      <c r="S30" s="2" t="s">
        <v>174</v>
      </c>
      <c r="T30" s="2" t="s">
        <v>175</v>
      </c>
      <c r="U30" s="2" t="s">
        <v>176</v>
      </c>
    </row>
    <row r="31" spans="1:19" s="106" customFormat="1" ht="15.75">
      <c r="A31" s="19" t="s">
        <v>145</v>
      </c>
      <c r="B31" s="102" t="s">
        <v>18</v>
      </c>
      <c r="C31" s="85"/>
      <c r="D31" s="95"/>
      <c r="E31" s="95">
        <v>417</v>
      </c>
      <c r="F31" s="201">
        <v>486</v>
      </c>
      <c r="G31" s="201">
        <v>448</v>
      </c>
      <c r="H31" s="95"/>
      <c r="I31" s="201">
        <v>464</v>
      </c>
      <c r="J31" s="201">
        <v>466</v>
      </c>
      <c r="K31" s="201">
        <v>450</v>
      </c>
      <c r="L31" s="95"/>
      <c r="M31" s="95"/>
      <c r="N31" s="105">
        <f>SUM(C31:M31)</f>
        <v>2731</v>
      </c>
      <c r="O31" s="103">
        <v>7</v>
      </c>
      <c r="P31" s="103">
        <v>1</v>
      </c>
      <c r="Q31" s="103">
        <v>193</v>
      </c>
      <c r="R31" s="103">
        <v>2</v>
      </c>
      <c r="S31" s="106">
        <v>1</v>
      </c>
    </row>
    <row r="32" spans="1:21" s="231" customFormat="1" ht="15.75">
      <c r="A32" s="25" t="s">
        <v>146</v>
      </c>
      <c r="B32" s="47" t="s">
        <v>17</v>
      </c>
      <c r="C32" s="91"/>
      <c r="D32" s="93">
        <v>370</v>
      </c>
      <c r="E32" s="93">
        <v>415</v>
      </c>
      <c r="F32" s="203">
        <v>455</v>
      </c>
      <c r="G32" s="93">
        <v>412</v>
      </c>
      <c r="H32" s="93"/>
      <c r="I32" s="93"/>
      <c r="J32" s="93">
        <v>427</v>
      </c>
      <c r="K32" s="203">
        <v>468</v>
      </c>
      <c r="L32" s="93"/>
      <c r="M32" s="93"/>
      <c r="N32" s="200">
        <f aca="true" t="shared" si="1" ref="N32:N47">SUM(C32:M32)</f>
        <v>2547</v>
      </c>
      <c r="O32" s="193">
        <v>2</v>
      </c>
      <c r="P32" s="193">
        <v>6</v>
      </c>
      <c r="Q32" s="193">
        <v>-55</v>
      </c>
      <c r="R32" s="193">
        <v>0</v>
      </c>
      <c r="U32" s="231">
        <v>1</v>
      </c>
    </row>
    <row r="33" spans="1:19" s="211" customFormat="1" ht="15.75">
      <c r="A33" s="83" t="s">
        <v>147</v>
      </c>
      <c r="B33" s="96" t="s">
        <v>193</v>
      </c>
      <c r="C33" s="106"/>
      <c r="D33" s="154">
        <v>206</v>
      </c>
      <c r="E33" s="154"/>
      <c r="F33" s="350">
        <v>451</v>
      </c>
      <c r="G33" s="350">
        <v>458</v>
      </c>
      <c r="H33" s="154"/>
      <c r="I33" s="350">
        <v>458</v>
      </c>
      <c r="J33" s="350">
        <v>460</v>
      </c>
      <c r="K33" s="154">
        <v>432</v>
      </c>
      <c r="L33" s="154">
        <v>163</v>
      </c>
      <c r="M33" s="154"/>
      <c r="N33" s="105">
        <f t="shared" si="1"/>
        <v>2628</v>
      </c>
      <c r="O33" s="204">
        <v>6</v>
      </c>
      <c r="P33" s="204">
        <v>2</v>
      </c>
      <c r="Q33" s="204">
        <v>96</v>
      </c>
      <c r="R33" s="204">
        <v>2</v>
      </c>
      <c r="S33" s="211">
        <v>1</v>
      </c>
    </row>
    <row r="34" spans="1:21" s="231" customFormat="1" ht="15.75">
      <c r="A34" s="25" t="s">
        <v>148</v>
      </c>
      <c r="B34" s="47" t="s">
        <v>241</v>
      </c>
      <c r="C34" s="91"/>
      <c r="D34" s="93">
        <v>401</v>
      </c>
      <c r="E34" s="93">
        <v>397</v>
      </c>
      <c r="F34" s="93"/>
      <c r="G34" s="93">
        <v>368</v>
      </c>
      <c r="H34" s="93"/>
      <c r="I34" s="203">
        <v>441</v>
      </c>
      <c r="J34" s="203">
        <v>444</v>
      </c>
      <c r="K34" s="203">
        <v>450</v>
      </c>
      <c r="L34" s="93"/>
      <c r="M34" s="93"/>
      <c r="N34" s="200">
        <f t="shared" si="1"/>
        <v>2501</v>
      </c>
      <c r="O34" s="193">
        <v>3</v>
      </c>
      <c r="P34" s="193">
        <v>5</v>
      </c>
      <c r="Q34" s="193">
        <v>-85</v>
      </c>
      <c r="R34" s="193">
        <v>0</v>
      </c>
      <c r="U34" s="231">
        <v>1</v>
      </c>
    </row>
    <row r="35" spans="1:18" s="148" customFormat="1" ht="15.75">
      <c r="A35" s="145" t="s">
        <v>149</v>
      </c>
      <c r="B35" s="149" t="s">
        <v>234</v>
      </c>
      <c r="C35" s="370"/>
      <c r="D35" s="219"/>
      <c r="E35" s="219"/>
      <c r="F35" s="219"/>
      <c r="G35" s="219"/>
      <c r="H35" s="219"/>
      <c r="I35" s="219"/>
      <c r="J35" s="219"/>
      <c r="K35" s="219"/>
      <c r="L35" s="219"/>
      <c r="M35" s="220"/>
      <c r="N35" s="105" t="s">
        <v>234</v>
      </c>
      <c r="O35" s="368"/>
      <c r="P35" s="368"/>
      <c r="Q35" s="368"/>
      <c r="R35" s="368"/>
    </row>
    <row r="36" spans="1:19" s="231" customFormat="1" ht="15.75">
      <c r="A36" s="25" t="s">
        <v>150</v>
      </c>
      <c r="B36" s="47" t="s">
        <v>242</v>
      </c>
      <c r="C36" s="91"/>
      <c r="D36" s="203">
        <v>450</v>
      </c>
      <c r="E36" s="93">
        <v>410</v>
      </c>
      <c r="F36" s="203">
        <v>449</v>
      </c>
      <c r="G36" s="203">
        <v>444</v>
      </c>
      <c r="H36" s="93"/>
      <c r="I36" s="93">
        <v>422</v>
      </c>
      <c r="J36" s="93"/>
      <c r="K36" s="203">
        <v>442</v>
      </c>
      <c r="L36" s="93"/>
      <c r="M36" s="93"/>
      <c r="N36" s="200">
        <f t="shared" si="1"/>
        <v>2617</v>
      </c>
      <c r="O36" s="193">
        <v>6</v>
      </c>
      <c r="P36" s="193">
        <v>2</v>
      </c>
      <c r="Q36" s="193">
        <v>50</v>
      </c>
      <c r="R36" s="193">
        <v>2</v>
      </c>
      <c r="S36" s="231">
        <v>1</v>
      </c>
    </row>
    <row r="37" spans="1:19" s="106" customFormat="1" ht="15.75">
      <c r="A37" s="19" t="s">
        <v>151</v>
      </c>
      <c r="B37" s="102" t="s">
        <v>25</v>
      </c>
      <c r="C37" s="85"/>
      <c r="D37" s="201">
        <v>441</v>
      </c>
      <c r="E37" s="95">
        <v>440</v>
      </c>
      <c r="F37" s="201">
        <v>498</v>
      </c>
      <c r="G37" s="95">
        <v>422</v>
      </c>
      <c r="H37" s="95"/>
      <c r="I37" s="95"/>
      <c r="J37" s="201">
        <v>451</v>
      </c>
      <c r="K37" s="201">
        <v>483</v>
      </c>
      <c r="L37" s="95"/>
      <c r="M37" s="95"/>
      <c r="N37" s="105">
        <f t="shared" si="1"/>
        <v>2735</v>
      </c>
      <c r="O37" s="103">
        <v>6</v>
      </c>
      <c r="P37" s="103">
        <v>2</v>
      </c>
      <c r="Q37" s="103">
        <f>N37-2599</f>
        <v>136</v>
      </c>
      <c r="R37" s="103">
        <v>2</v>
      </c>
      <c r="S37" s="106">
        <v>1</v>
      </c>
    </row>
    <row r="38" spans="1:19" s="23" customFormat="1" ht="15.75">
      <c r="A38" s="204" t="s">
        <v>152</v>
      </c>
      <c r="B38" s="207" t="s">
        <v>238</v>
      </c>
      <c r="C38" s="211"/>
      <c r="D38" s="254"/>
      <c r="E38" s="254">
        <v>396</v>
      </c>
      <c r="F38" s="344">
        <v>451</v>
      </c>
      <c r="G38" s="344">
        <v>464</v>
      </c>
      <c r="H38" s="254"/>
      <c r="I38" s="254">
        <v>432</v>
      </c>
      <c r="J38" s="254">
        <v>424</v>
      </c>
      <c r="K38" s="344">
        <v>442</v>
      </c>
      <c r="L38" s="254"/>
      <c r="M38" s="254"/>
      <c r="N38" s="105">
        <f t="shared" si="1"/>
        <v>2609</v>
      </c>
      <c r="O38" s="19">
        <v>5</v>
      </c>
      <c r="P38" s="19">
        <v>3</v>
      </c>
      <c r="Q38" s="19">
        <v>102</v>
      </c>
      <c r="R38" s="19">
        <v>2</v>
      </c>
      <c r="S38" s="23">
        <v>1</v>
      </c>
    </row>
    <row r="39" spans="1:19" s="211" customFormat="1" ht="15.75">
      <c r="A39" s="83" t="s">
        <v>153</v>
      </c>
      <c r="B39" s="96" t="s">
        <v>15</v>
      </c>
      <c r="C39" s="106"/>
      <c r="D39" s="350">
        <v>457</v>
      </c>
      <c r="E39" s="154">
        <v>421</v>
      </c>
      <c r="F39" s="350">
        <v>500</v>
      </c>
      <c r="G39" s="350">
        <v>468</v>
      </c>
      <c r="H39" s="154"/>
      <c r="I39" s="154"/>
      <c r="J39" s="154"/>
      <c r="K39" s="154">
        <v>430</v>
      </c>
      <c r="L39" s="350">
        <v>436</v>
      </c>
      <c r="M39" s="154"/>
      <c r="N39" s="105">
        <f t="shared" si="1"/>
        <v>2712</v>
      </c>
      <c r="O39" s="204">
        <v>6</v>
      </c>
      <c r="P39" s="204">
        <v>2</v>
      </c>
      <c r="Q39" s="204">
        <v>102</v>
      </c>
      <c r="R39" s="204">
        <v>2</v>
      </c>
      <c r="S39" s="211">
        <v>1</v>
      </c>
    </row>
    <row r="40" spans="1:19" s="106" customFormat="1" ht="15.75">
      <c r="A40" s="19" t="s">
        <v>154</v>
      </c>
      <c r="B40" s="34" t="s">
        <v>21</v>
      </c>
      <c r="C40" s="85"/>
      <c r="D40" s="95"/>
      <c r="E40" s="201">
        <v>438</v>
      </c>
      <c r="F40" s="201">
        <v>439</v>
      </c>
      <c r="G40" s="95">
        <v>433</v>
      </c>
      <c r="H40" s="95"/>
      <c r="I40" s="201">
        <v>449</v>
      </c>
      <c r="J40" s="95"/>
      <c r="K40" s="201">
        <v>436</v>
      </c>
      <c r="L40" s="201">
        <v>449</v>
      </c>
      <c r="M40" s="95"/>
      <c r="N40" s="105">
        <f t="shared" si="1"/>
        <v>2644</v>
      </c>
      <c r="O40" s="103">
        <v>7</v>
      </c>
      <c r="P40" s="103">
        <v>1</v>
      </c>
      <c r="Q40" s="103">
        <v>233</v>
      </c>
      <c r="R40" s="103">
        <v>2</v>
      </c>
      <c r="S40" s="106">
        <v>1</v>
      </c>
    </row>
    <row r="41" spans="1:19" s="231" customFormat="1" ht="15.75">
      <c r="A41" s="25" t="s">
        <v>155</v>
      </c>
      <c r="B41" s="35" t="s">
        <v>20</v>
      </c>
      <c r="C41" s="91"/>
      <c r="D41" s="93">
        <v>220</v>
      </c>
      <c r="E41" s="203">
        <v>458</v>
      </c>
      <c r="F41" s="203">
        <v>469</v>
      </c>
      <c r="G41" s="93">
        <v>415</v>
      </c>
      <c r="H41" s="93"/>
      <c r="I41" s="203">
        <v>476</v>
      </c>
      <c r="J41" s="93">
        <v>203</v>
      </c>
      <c r="K41" s="203">
        <v>433</v>
      </c>
      <c r="L41" s="93"/>
      <c r="M41" s="93"/>
      <c r="N41" s="200">
        <f t="shared" si="1"/>
        <v>2674</v>
      </c>
      <c r="O41" s="193">
        <v>6</v>
      </c>
      <c r="P41" s="193">
        <v>2</v>
      </c>
      <c r="Q41" s="193">
        <v>154</v>
      </c>
      <c r="R41" s="193">
        <v>2</v>
      </c>
      <c r="S41" s="231">
        <v>1</v>
      </c>
    </row>
    <row r="42" spans="1:19" s="211" customFormat="1" ht="15.75">
      <c r="A42" s="83" t="s">
        <v>156</v>
      </c>
      <c r="B42" s="95" t="s">
        <v>22</v>
      </c>
      <c r="C42" s="106"/>
      <c r="D42" s="154"/>
      <c r="E42" s="154">
        <v>428</v>
      </c>
      <c r="F42" s="154">
        <v>444</v>
      </c>
      <c r="G42" s="350">
        <v>470</v>
      </c>
      <c r="H42" s="154"/>
      <c r="I42" s="350">
        <v>472</v>
      </c>
      <c r="J42" s="350">
        <v>459</v>
      </c>
      <c r="K42" s="154">
        <v>445</v>
      </c>
      <c r="L42" s="154"/>
      <c r="M42" s="154"/>
      <c r="N42" s="105">
        <f t="shared" si="1"/>
        <v>2718</v>
      </c>
      <c r="O42" s="204">
        <v>5</v>
      </c>
      <c r="P42" s="204">
        <v>3</v>
      </c>
      <c r="Q42" s="204">
        <v>36</v>
      </c>
      <c r="R42" s="204">
        <v>2</v>
      </c>
      <c r="S42" s="211">
        <v>1</v>
      </c>
    </row>
    <row r="43" spans="1:21" s="231" customFormat="1" ht="15.75">
      <c r="A43" s="25" t="s">
        <v>157</v>
      </c>
      <c r="B43" s="35" t="s">
        <v>195</v>
      </c>
      <c r="C43" s="91"/>
      <c r="D43" s="93"/>
      <c r="E43" s="93">
        <v>411</v>
      </c>
      <c r="F43" s="93">
        <v>435</v>
      </c>
      <c r="G43" s="93">
        <v>439</v>
      </c>
      <c r="H43" s="93"/>
      <c r="I43" s="203">
        <v>452</v>
      </c>
      <c r="J43" s="203">
        <v>442</v>
      </c>
      <c r="K43" s="93">
        <v>440</v>
      </c>
      <c r="L43" s="93"/>
      <c r="M43" s="93"/>
      <c r="N43" s="200">
        <f t="shared" si="1"/>
        <v>2619</v>
      </c>
      <c r="O43" s="193">
        <v>2</v>
      </c>
      <c r="P43" s="193">
        <v>6</v>
      </c>
      <c r="Q43" s="193">
        <v>-54</v>
      </c>
      <c r="R43" s="193">
        <v>0</v>
      </c>
      <c r="U43" s="231">
        <v>1</v>
      </c>
    </row>
    <row r="44" spans="1:19" s="23" customFormat="1" ht="15.75">
      <c r="A44" s="204" t="s">
        <v>243</v>
      </c>
      <c r="B44" s="205" t="s">
        <v>196</v>
      </c>
      <c r="C44" s="211"/>
      <c r="D44" s="344">
        <v>420</v>
      </c>
      <c r="E44" s="254"/>
      <c r="F44" s="344">
        <v>478</v>
      </c>
      <c r="G44" s="344">
        <v>431</v>
      </c>
      <c r="H44" s="254"/>
      <c r="I44" s="344">
        <v>431</v>
      </c>
      <c r="J44" s="344">
        <v>438</v>
      </c>
      <c r="K44" s="254"/>
      <c r="L44" s="254">
        <v>399</v>
      </c>
      <c r="M44" s="254"/>
      <c r="N44" s="105">
        <f t="shared" si="1"/>
        <v>2597</v>
      </c>
      <c r="O44" s="19">
        <v>7</v>
      </c>
      <c r="P44" s="19">
        <v>1</v>
      </c>
      <c r="Q44" s="19">
        <v>226</v>
      </c>
      <c r="R44" s="19">
        <v>2</v>
      </c>
      <c r="S44" s="23">
        <v>1</v>
      </c>
    </row>
    <row r="45" spans="1:19" s="231" customFormat="1" ht="15.75">
      <c r="A45" s="25" t="s">
        <v>244</v>
      </c>
      <c r="B45" s="35" t="s">
        <v>192</v>
      </c>
      <c r="C45" s="433"/>
      <c r="D45" s="93"/>
      <c r="E45" s="203">
        <v>463</v>
      </c>
      <c r="F45" s="203">
        <v>484</v>
      </c>
      <c r="G45" s="93">
        <v>434</v>
      </c>
      <c r="H45" s="93"/>
      <c r="I45" s="93">
        <v>423</v>
      </c>
      <c r="J45" s="203">
        <v>445</v>
      </c>
      <c r="K45" s="203">
        <v>461</v>
      </c>
      <c r="L45" s="93"/>
      <c r="M45" s="93"/>
      <c r="N45" s="200">
        <f t="shared" si="1"/>
        <v>2710</v>
      </c>
      <c r="O45" s="193">
        <v>6</v>
      </c>
      <c r="P45" s="193">
        <v>2</v>
      </c>
      <c r="Q45" s="193">
        <v>131</v>
      </c>
      <c r="R45" s="193">
        <v>2</v>
      </c>
      <c r="S45" s="231">
        <v>1</v>
      </c>
    </row>
    <row r="46" spans="1:19" s="106" customFormat="1" ht="15.75">
      <c r="A46" s="19" t="s">
        <v>266</v>
      </c>
      <c r="B46" s="34" t="s">
        <v>272</v>
      </c>
      <c r="C46" s="85"/>
      <c r="D46" s="437">
        <v>458</v>
      </c>
      <c r="E46" s="95">
        <v>423</v>
      </c>
      <c r="F46" s="95"/>
      <c r="G46" s="95">
        <v>424</v>
      </c>
      <c r="H46" s="95"/>
      <c r="I46" s="437">
        <v>458</v>
      </c>
      <c r="J46" s="437">
        <v>436</v>
      </c>
      <c r="K46" s="437">
        <v>469</v>
      </c>
      <c r="L46" s="95"/>
      <c r="M46" s="95"/>
      <c r="N46" s="105">
        <f t="shared" si="1"/>
        <v>2668</v>
      </c>
      <c r="O46" s="103">
        <v>6</v>
      </c>
      <c r="P46" s="103">
        <v>2</v>
      </c>
      <c r="Q46" s="103">
        <v>135</v>
      </c>
      <c r="R46" s="103">
        <v>2</v>
      </c>
      <c r="S46" s="106">
        <v>1</v>
      </c>
    </row>
    <row r="47" spans="1:21" s="231" customFormat="1" ht="16.5" thickBot="1">
      <c r="A47" s="25" t="s">
        <v>267</v>
      </c>
      <c r="B47" s="35" t="s">
        <v>19</v>
      </c>
      <c r="C47" s="98"/>
      <c r="D47" s="94">
        <v>402</v>
      </c>
      <c r="E47" s="94">
        <v>430</v>
      </c>
      <c r="F47" s="94"/>
      <c r="G47" s="94">
        <v>411</v>
      </c>
      <c r="H47" s="94"/>
      <c r="I47" s="447">
        <v>442</v>
      </c>
      <c r="J47" s="447">
        <v>431</v>
      </c>
      <c r="K47" s="447">
        <v>463</v>
      </c>
      <c r="L47" s="94"/>
      <c r="M47" s="94"/>
      <c r="N47" s="200">
        <f t="shared" si="1"/>
        <v>2579</v>
      </c>
      <c r="O47" s="364">
        <v>3</v>
      </c>
      <c r="P47" s="364">
        <v>5</v>
      </c>
      <c r="Q47" s="364">
        <f>2579-2626</f>
        <v>-47</v>
      </c>
      <c r="R47" s="364">
        <v>0</v>
      </c>
      <c r="S47" s="242"/>
      <c r="T47" s="242"/>
      <c r="U47" s="242">
        <v>1</v>
      </c>
    </row>
    <row r="48" spans="3:21" ht="16.5" thickTop="1">
      <c r="C48" s="56">
        <f>SUM(C31:C45)</f>
        <v>0</v>
      </c>
      <c r="D48" s="56">
        <f>SUM(D31:D32)+SUM(D34:D40)+SUM(D42:D47)</f>
        <v>3399</v>
      </c>
      <c r="E48" s="56">
        <f aca="true" t="shared" si="2" ref="E48:M48">SUM(E31:E47)</f>
        <v>5947</v>
      </c>
      <c r="F48" s="56">
        <f t="shared" si="2"/>
        <v>6039</v>
      </c>
      <c r="G48" s="56">
        <f t="shared" si="2"/>
        <v>6941</v>
      </c>
      <c r="H48" s="56">
        <f t="shared" si="2"/>
        <v>0</v>
      </c>
      <c r="I48" s="56">
        <f t="shared" si="2"/>
        <v>5820</v>
      </c>
      <c r="J48" s="56">
        <f>SUM(J31:J32)+SUM(J34:J40)+SUM(J42:J47)</f>
        <v>4863</v>
      </c>
      <c r="K48" s="56">
        <f>SUM(K31:K46)+SUM(K47)</f>
        <v>6744</v>
      </c>
      <c r="L48" s="56">
        <f>SUM(L31:L32)+SUM(L34:L47)</f>
        <v>1284</v>
      </c>
      <c r="M48" s="56">
        <f t="shared" si="2"/>
        <v>0</v>
      </c>
      <c r="O48" s="1">
        <f>SUM(O31:O47)</f>
        <v>83</v>
      </c>
      <c r="P48" s="1">
        <f>SUM(P31:P47)</f>
        <v>45</v>
      </c>
      <c r="Q48" s="1">
        <f>SUM(Q31:Q47)</f>
        <v>1353</v>
      </c>
      <c r="R48" s="1">
        <f>SUM(R31:R47)</f>
        <v>24</v>
      </c>
      <c r="S48" s="1">
        <f>SUM(S31:S47)+S23</f>
        <v>26</v>
      </c>
      <c r="T48" s="1">
        <f>SUM(T31:T47)+T23</f>
        <v>0</v>
      </c>
      <c r="U48" s="1">
        <f>SUM(U31:U47)+U23</f>
        <v>6</v>
      </c>
    </row>
    <row r="49" spans="2:13" ht="15.75">
      <c r="B49" s="57" t="s">
        <v>231</v>
      </c>
      <c r="C49" s="1">
        <f>COUNT(C31:C45)</f>
        <v>0</v>
      </c>
      <c r="D49" s="1">
        <f>COUNT(D31:D32)+COUNT(D34:D40)+COUNT(D42:D47)</f>
        <v>8</v>
      </c>
      <c r="E49" s="1">
        <f aca="true" t="shared" si="3" ref="E49:M49">COUNT(E31:E47)</f>
        <v>14</v>
      </c>
      <c r="F49" s="1">
        <f t="shared" si="3"/>
        <v>13</v>
      </c>
      <c r="G49" s="1">
        <f t="shared" si="3"/>
        <v>16</v>
      </c>
      <c r="H49" s="1">
        <f t="shared" si="3"/>
        <v>0</v>
      </c>
      <c r="I49" s="1">
        <f t="shared" si="3"/>
        <v>13</v>
      </c>
      <c r="J49" s="1">
        <f>COUNT(J31:J32)+COUNT(J34:J40)+COUNT(J42:J47)</f>
        <v>11</v>
      </c>
      <c r="K49" s="1">
        <f>COUNT(K31:K46)+COUNT(K47)</f>
        <v>15</v>
      </c>
      <c r="L49" s="1">
        <f>COUNT(L31:L32)+COUNT(L34:L47)</f>
        <v>3</v>
      </c>
      <c r="M49" s="1">
        <f t="shared" si="3"/>
        <v>0</v>
      </c>
    </row>
    <row r="50" spans="2:21" ht="31.5">
      <c r="B50" s="11" t="s">
        <v>228</v>
      </c>
      <c r="C50" s="16"/>
      <c r="D50" s="16">
        <f aca="true" t="shared" si="4" ref="D50:L50">D48/D49</f>
        <v>424.875</v>
      </c>
      <c r="E50" s="16">
        <f t="shared" si="4"/>
        <v>424.7857142857143</v>
      </c>
      <c r="F50" s="16">
        <f t="shared" si="4"/>
        <v>464.53846153846155</v>
      </c>
      <c r="G50" s="16">
        <f t="shared" si="4"/>
        <v>433.8125</v>
      </c>
      <c r="H50" s="16"/>
      <c r="I50" s="16">
        <f t="shared" si="4"/>
        <v>447.6923076923077</v>
      </c>
      <c r="J50" s="16">
        <f t="shared" si="4"/>
        <v>442.09090909090907</v>
      </c>
      <c r="K50" s="16">
        <f t="shared" si="4"/>
        <v>449.6</v>
      </c>
      <c r="L50" s="16">
        <f t="shared" si="4"/>
        <v>428</v>
      </c>
      <c r="M50" s="16"/>
      <c r="N50" s="3" t="s">
        <v>29</v>
      </c>
      <c r="O50" s="461" t="s">
        <v>109</v>
      </c>
      <c r="P50" s="461"/>
      <c r="Q50" s="3" t="s">
        <v>30</v>
      </c>
      <c r="R50" s="10" t="s">
        <v>110</v>
      </c>
      <c r="T50" s="63" t="s">
        <v>118</v>
      </c>
      <c r="U50" s="63" t="s">
        <v>209</v>
      </c>
    </row>
    <row r="51" spans="14:21" ht="15.75">
      <c r="N51" s="6">
        <f>SUM(N31:N47)+N26</f>
        <v>84039</v>
      </c>
      <c r="O51" s="6">
        <f>SUM(O31:O47)+O26</f>
        <v>170</v>
      </c>
      <c r="P51" s="6">
        <f>SUM(P31:P47)+P26</f>
        <v>86</v>
      </c>
      <c r="Q51" s="6">
        <f>SUM(Q31:Q47)+Q26</f>
        <v>2793</v>
      </c>
      <c r="R51" s="6">
        <f>SUM(R31:R47)+R26</f>
        <v>52</v>
      </c>
      <c r="T51" s="46">
        <f>O51-P51</f>
        <v>84</v>
      </c>
      <c r="U51" s="2">
        <f>SUM(S48:U48)</f>
        <v>32</v>
      </c>
    </row>
    <row r="53" spans="14:15" ht="15.75">
      <c r="N53" s="1" t="s">
        <v>120</v>
      </c>
      <c r="O53" s="18">
        <f>N51/U51</f>
        <v>2626.21875</v>
      </c>
    </row>
  </sheetData>
  <sheetProtection/>
  <mergeCells count="11">
    <mergeCell ref="O25:P25"/>
    <mergeCell ref="F27:G27"/>
    <mergeCell ref="E1:F1"/>
    <mergeCell ref="H1:I1"/>
    <mergeCell ref="K1:M1"/>
    <mergeCell ref="K2:M2"/>
    <mergeCell ref="O50:P50"/>
    <mergeCell ref="I27:J27"/>
    <mergeCell ref="C4:J4"/>
    <mergeCell ref="O4:P4"/>
    <mergeCell ref="C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W53"/>
  <sheetViews>
    <sheetView zoomScale="90" zoomScaleNormal="90" zoomScalePageLayoutView="0" workbookViewId="0" topLeftCell="A28">
      <selection activeCell="F47" sqref="F47"/>
    </sheetView>
  </sheetViews>
  <sheetFormatPr defaultColWidth="9.00390625" defaultRowHeight="12.75"/>
  <cols>
    <col min="1" max="1" width="13.375" style="1" customWidth="1"/>
    <col min="2" max="2" width="21.00390625" style="1" bestFit="1" customWidth="1"/>
    <col min="3" max="6" width="9.125" style="1" customWidth="1"/>
    <col min="7" max="8" width="10.375" style="1" customWidth="1"/>
    <col min="9" max="9" width="9.125" style="1" customWidth="1"/>
    <col min="10" max="10" width="11.875" style="1" customWidth="1"/>
    <col min="11" max="11" width="10.375" style="1" customWidth="1"/>
    <col min="12" max="12" width="11.25390625" style="1" customWidth="1"/>
    <col min="13" max="13" width="9.125" style="1" customWidth="1"/>
    <col min="14" max="14" width="18.375" style="1" customWidth="1"/>
    <col min="15" max="15" width="17.25390625" style="1" customWidth="1"/>
    <col min="16" max="16" width="14.00390625" style="1" customWidth="1"/>
    <col min="17" max="17" width="11.25390625" style="1" customWidth="1"/>
    <col min="18" max="18" width="13.375" style="1" bestFit="1" customWidth="1"/>
    <col min="19" max="19" width="13.375" style="1" customWidth="1"/>
    <col min="20" max="20" width="12.75390625" style="1" customWidth="1"/>
    <col min="22" max="23" width="11.875" style="0" customWidth="1"/>
  </cols>
  <sheetData>
    <row r="1" spans="1:16" ht="15.75">
      <c r="A1" s="48" t="s">
        <v>133</v>
      </c>
      <c r="B1" s="49"/>
      <c r="C1" s="49" t="s">
        <v>130</v>
      </c>
      <c r="D1" s="49" t="s">
        <v>134</v>
      </c>
      <c r="E1" s="459" t="s">
        <v>135</v>
      </c>
      <c r="F1" s="459"/>
      <c r="G1" s="49"/>
      <c r="H1" s="49"/>
      <c r="J1" s="455" t="s">
        <v>143</v>
      </c>
      <c r="K1" s="455"/>
      <c r="L1" s="11" t="s">
        <v>144</v>
      </c>
      <c r="M1" s="455" t="s">
        <v>118</v>
      </c>
      <c r="N1" s="455"/>
      <c r="O1" s="1" t="s">
        <v>120</v>
      </c>
      <c r="P1" s="18">
        <f>P26/W26</f>
        <v>2551.1875</v>
      </c>
    </row>
    <row r="2" spans="10:16" ht="15.75">
      <c r="J2" s="1">
        <f>Q26+P48</f>
        <v>125</v>
      </c>
      <c r="K2" s="1">
        <f>R26+Q48</f>
        <v>131</v>
      </c>
      <c r="L2" s="1">
        <f>T26+S48</f>
        <v>30</v>
      </c>
      <c r="M2" s="460">
        <f>J2-K2</f>
        <v>-6</v>
      </c>
      <c r="N2" s="460"/>
      <c r="O2" s="1" t="s">
        <v>216</v>
      </c>
      <c r="P2" s="6">
        <f>O6+O8+O10+O12+O14+O16+O18+O19+O21+O32+O37+O39+O41+O43+O45+O47</f>
        <v>40534</v>
      </c>
    </row>
    <row r="4" spans="3:23" ht="15.75">
      <c r="C4" s="461" t="s">
        <v>26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Q4" s="461" t="s">
        <v>27</v>
      </c>
      <c r="R4" s="461"/>
      <c r="U4" s="2"/>
      <c r="V4" s="2"/>
      <c r="W4" s="2"/>
    </row>
    <row r="5" spans="2:22" ht="32.25" thickBot="1">
      <c r="B5" s="3" t="s">
        <v>24</v>
      </c>
      <c r="C5" s="180" t="s">
        <v>36</v>
      </c>
      <c r="D5" s="8" t="s">
        <v>278</v>
      </c>
      <c r="E5" s="8" t="s">
        <v>62</v>
      </c>
      <c r="F5" s="8" t="s">
        <v>63</v>
      </c>
      <c r="G5" s="8" t="s">
        <v>233</v>
      </c>
      <c r="H5" s="8" t="s">
        <v>292</v>
      </c>
      <c r="I5" s="8" t="s">
        <v>277</v>
      </c>
      <c r="J5" s="8" t="s">
        <v>90</v>
      </c>
      <c r="K5" s="8" t="s">
        <v>34</v>
      </c>
      <c r="L5" s="8" t="s">
        <v>185</v>
      </c>
      <c r="M5" s="8" t="s">
        <v>32</v>
      </c>
      <c r="N5" s="8" t="s">
        <v>245</v>
      </c>
      <c r="O5" s="3" t="s">
        <v>29</v>
      </c>
      <c r="P5" s="3" t="s">
        <v>23</v>
      </c>
      <c r="Q5" s="3" t="s">
        <v>28</v>
      </c>
      <c r="R5" s="3" t="s">
        <v>30</v>
      </c>
      <c r="S5" s="10" t="s">
        <v>108</v>
      </c>
      <c r="T5" s="2" t="s">
        <v>174</v>
      </c>
      <c r="U5" s="2" t="s">
        <v>175</v>
      </c>
      <c r="V5" s="2" t="s">
        <v>176</v>
      </c>
    </row>
    <row r="6" spans="1:22" s="27" customFormat="1" ht="15.75">
      <c r="A6" s="25" t="s">
        <v>0</v>
      </c>
      <c r="B6" s="35" t="s">
        <v>20</v>
      </c>
      <c r="C6" s="91"/>
      <c r="D6" s="93"/>
      <c r="E6" s="93">
        <v>428</v>
      </c>
      <c r="F6" s="203">
        <v>437</v>
      </c>
      <c r="G6" s="93"/>
      <c r="H6" s="93"/>
      <c r="I6" s="93">
        <v>428</v>
      </c>
      <c r="J6" s="93"/>
      <c r="K6" s="203">
        <v>460</v>
      </c>
      <c r="L6" s="93"/>
      <c r="M6" s="93">
        <v>383</v>
      </c>
      <c r="N6" s="248">
        <v>453</v>
      </c>
      <c r="O6" s="192">
        <f aca="true" t="shared" si="0" ref="O6:O15">SUM(C6:N6)</f>
        <v>2589</v>
      </c>
      <c r="P6" s="193">
        <v>5</v>
      </c>
      <c r="Q6" s="193">
        <v>3</v>
      </c>
      <c r="R6" s="193">
        <v>41</v>
      </c>
      <c r="S6" s="193">
        <v>2</v>
      </c>
      <c r="T6" s="66">
        <v>1</v>
      </c>
      <c r="U6" s="66"/>
      <c r="V6" s="66"/>
    </row>
    <row r="7" spans="1:22" s="106" customFormat="1" ht="15.75">
      <c r="A7" s="19" t="s">
        <v>1</v>
      </c>
      <c r="B7" s="34" t="s">
        <v>22</v>
      </c>
      <c r="C7" s="85"/>
      <c r="D7" s="95">
        <v>377</v>
      </c>
      <c r="E7" s="95">
        <v>406</v>
      </c>
      <c r="F7" s="95"/>
      <c r="G7" s="95"/>
      <c r="H7" s="95"/>
      <c r="I7" s="95">
        <v>392</v>
      </c>
      <c r="J7" s="95"/>
      <c r="K7" s="201">
        <v>448</v>
      </c>
      <c r="L7" s="201">
        <v>442</v>
      </c>
      <c r="M7" s="95"/>
      <c r="N7" s="111">
        <v>431</v>
      </c>
      <c r="O7" s="113">
        <f t="shared" si="0"/>
        <v>2496</v>
      </c>
      <c r="P7" s="103">
        <v>2</v>
      </c>
      <c r="Q7" s="103">
        <v>6</v>
      </c>
      <c r="R7" s="103">
        <v>-131</v>
      </c>
      <c r="S7" s="103">
        <v>0</v>
      </c>
      <c r="T7" s="117"/>
      <c r="U7" s="117"/>
      <c r="V7" s="117">
        <v>1</v>
      </c>
    </row>
    <row r="8" spans="1:22" s="27" customFormat="1" ht="15.75">
      <c r="A8" s="193" t="s">
        <v>2</v>
      </c>
      <c r="B8" s="35" t="s">
        <v>195</v>
      </c>
      <c r="C8" s="91"/>
      <c r="D8" s="93"/>
      <c r="E8" s="93">
        <v>409</v>
      </c>
      <c r="F8" s="203">
        <v>445</v>
      </c>
      <c r="G8" s="93"/>
      <c r="H8" s="93"/>
      <c r="I8" s="93">
        <v>406</v>
      </c>
      <c r="J8" s="93"/>
      <c r="K8" s="93">
        <v>430</v>
      </c>
      <c r="L8" s="93">
        <v>403</v>
      </c>
      <c r="M8" s="93"/>
      <c r="N8" s="248">
        <v>432</v>
      </c>
      <c r="O8" s="192">
        <f t="shared" si="0"/>
        <v>2525</v>
      </c>
      <c r="P8" s="193">
        <v>2</v>
      </c>
      <c r="Q8" s="193">
        <v>6</v>
      </c>
      <c r="R8" s="193">
        <v>-93</v>
      </c>
      <c r="S8" s="193">
        <v>0</v>
      </c>
      <c r="T8" s="66"/>
      <c r="U8" s="66"/>
      <c r="V8" s="66">
        <v>1</v>
      </c>
    </row>
    <row r="9" spans="1:20" s="102" customFormat="1" ht="15.75">
      <c r="A9" s="102" t="s">
        <v>3</v>
      </c>
      <c r="B9" s="34" t="s">
        <v>196</v>
      </c>
      <c r="E9" s="250">
        <v>429</v>
      </c>
      <c r="F9" s="102">
        <v>405</v>
      </c>
      <c r="K9" s="250">
        <v>438</v>
      </c>
      <c r="L9" s="250">
        <v>444</v>
      </c>
      <c r="M9" s="102">
        <v>400</v>
      </c>
      <c r="N9" s="250">
        <v>451</v>
      </c>
      <c r="O9" s="168">
        <f t="shared" si="0"/>
        <v>2567</v>
      </c>
      <c r="P9" s="102">
        <v>6</v>
      </c>
      <c r="Q9" s="102">
        <v>2</v>
      </c>
      <c r="R9" s="102">
        <v>111</v>
      </c>
      <c r="S9" s="102">
        <v>2</v>
      </c>
      <c r="T9" s="102">
        <v>1</v>
      </c>
    </row>
    <row r="10" spans="1:22" s="47" customFormat="1" ht="15.75">
      <c r="A10" s="47" t="s">
        <v>4</v>
      </c>
      <c r="B10" s="35" t="s">
        <v>192</v>
      </c>
      <c r="C10" s="202">
        <v>446</v>
      </c>
      <c r="D10" s="35"/>
      <c r="E10" s="35">
        <v>407</v>
      </c>
      <c r="F10" s="35"/>
      <c r="G10" s="35"/>
      <c r="H10" s="35"/>
      <c r="I10" s="35"/>
      <c r="J10" s="35"/>
      <c r="K10" s="35">
        <v>390</v>
      </c>
      <c r="L10" s="202">
        <v>455</v>
      </c>
      <c r="M10" s="35">
        <v>405</v>
      </c>
      <c r="N10" s="326">
        <v>419</v>
      </c>
      <c r="O10" s="245">
        <f t="shared" si="0"/>
        <v>2522</v>
      </c>
      <c r="P10" s="47">
        <v>5</v>
      </c>
      <c r="Q10" s="47">
        <v>3</v>
      </c>
      <c r="R10" s="245">
        <v>76</v>
      </c>
      <c r="S10" s="47">
        <v>2</v>
      </c>
      <c r="T10" s="291">
        <v>1</v>
      </c>
      <c r="U10" s="291"/>
      <c r="V10" s="291"/>
    </row>
    <row r="11" spans="1:22" s="102" customFormat="1" ht="15.75">
      <c r="A11" s="102" t="s">
        <v>5</v>
      </c>
      <c r="B11" s="34" t="s">
        <v>272</v>
      </c>
      <c r="D11" s="34"/>
      <c r="E11" s="250">
        <v>453</v>
      </c>
      <c r="F11" s="34"/>
      <c r="G11" s="34"/>
      <c r="H11" s="34"/>
      <c r="I11" s="34">
        <v>395</v>
      </c>
      <c r="J11" s="34"/>
      <c r="K11" s="250">
        <v>456</v>
      </c>
      <c r="L11" s="34">
        <v>397</v>
      </c>
      <c r="M11" s="34">
        <v>396</v>
      </c>
      <c r="N11" s="275">
        <v>443</v>
      </c>
      <c r="O11" s="168">
        <f t="shared" si="0"/>
        <v>2540</v>
      </c>
      <c r="P11" s="102">
        <v>5</v>
      </c>
      <c r="Q11" s="102">
        <v>3</v>
      </c>
      <c r="R11" s="168">
        <f>O11-2035</f>
        <v>505</v>
      </c>
      <c r="S11" s="102">
        <v>2</v>
      </c>
      <c r="T11" s="317">
        <v>1</v>
      </c>
      <c r="U11" s="317"/>
      <c r="V11" s="317"/>
    </row>
    <row r="12" spans="1:22" s="47" customFormat="1" ht="15.75">
      <c r="A12" s="47" t="s">
        <v>6</v>
      </c>
      <c r="B12" s="35" t="s">
        <v>19</v>
      </c>
      <c r="D12" s="35"/>
      <c r="E12" s="35"/>
      <c r="F12" s="35">
        <v>410</v>
      </c>
      <c r="G12" s="35"/>
      <c r="H12" s="35"/>
      <c r="I12" s="202">
        <v>417</v>
      </c>
      <c r="J12" s="35"/>
      <c r="K12" s="35">
        <v>405</v>
      </c>
      <c r="L12" s="35">
        <v>415</v>
      </c>
      <c r="M12" s="35">
        <v>409</v>
      </c>
      <c r="N12" s="326">
        <v>435</v>
      </c>
      <c r="O12" s="245">
        <f t="shared" si="0"/>
        <v>2491</v>
      </c>
      <c r="P12" s="47">
        <v>2</v>
      </c>
      <c r="Q12" s="47">
        <v>6</v>
      </c>
      <c r="R12" s="245">
        <v>-137</v>
      </c>
      <c r="S12" s="47">
        <v>0</v>
      </c>
      <c r="T12" s="291"/>
      <c r="U12" s="291"/>
      <c r="V12" s="291">
        <v>1</v>
      </c>
    </row>
    <row r="13" spans="1:22" s="102" customFormat="1" ht="15.75">
      <c r="A13" s="102" t="s">
        <v>7</v>
      </c>
      <c r="B13" s="102" t="s">
        <v>18</v>
      </c>
      <c r="C13" s="250">
        <v>505</v>
      </c>
      <c r="D13" s="34">
        <v>360</v>
      </c>
      <c r="E13" s="36">
        <v>420</v>
      </c>
      <c r="F13" s="36"/>
      <c r="G13" s="36"/>
      <c r="H13" s="36"/>
      <c r="I13" s="36"/>
      <c r="J13" s="36"/>
      <c r="K13" s="36">
        <v>417</v>
      </c>
      <c r="L13" s="261">
        <v>437</v>
      </c>
      <c r="M13" s="36"/>
      <c r="N13" s="275">
        <v>434</v>
      </c>
      <c r="O13" s="168">
        <f t="shared" si="0"/>
        <v>2573</v>
      </c>
      <c r="P13" s="102">
        <v>3</v>
      </c>
      <c r="Q13" s="102">
        <v>5</v>
      </c>
      <c r="R13" s="168">
        <v>-62</v>
      </c>
      <c r="S13" s="102">
        <v>0</v>
      </c>
      <c r="T13" s="317"/>
      <c r="U13" s="317"/>
      <c r="V13" s="317">
        <v>1</v>
      </c>
    </row>
    <row r="14" spans="1:22" s="47" customFormat="1" ht="15.75">
      <c r="A14" s="47" t="s">
        <v>8</v>
      </c>
      <c r="B14" s="47" t="s">
        <v>17</v>
      </c>
      <c r="D14" s="35"/>
      <c r="E14" s="202">
        <v>427</v>
      </c>
      <c r="F14" s="202">
        <v>439</v>
      </c>
      <c r="G14" s="35"/>
      <c r="H14" s="35">
        <v>406</v>
      </c>
      <c r="I14" s="35">
        <v>404</v>
      </c>
      <c r="J14" s="35"/>
      <c r="K14" s="202">
        <v>436</v>
      </c>
      <c r="L14" s="35"/>
      <c r="M14" s="35"/>
      <c r="N14" s="326">
        <v>460</v>
      </c>
      <c r="O14" s="245">
        <f t="shared" si="0"/>
        <v>2572</v>
      </c>
      <c r="P14" s="47">
        <v>4</v>
      </c>
      <c r="Q14" s="47">
        <v>4</v>
      </c>
      <c r="R14" s="47">
        <v>-4</v>
      </c>
      <c r="S14" s="47">
        <v>1</v>
      </c>
      <c r="T14" s="291"/>
      <c r="U14" s="291">
        <v>1</v>
      </c>
      <c r="V14" s="291"/>
    </row>
    <row r="15" spans="1:22" s="102" customFormat="1" ht="15.75">
      <c r="A15" s="102" t="s">
        <v>9</v>
      </c>
      <c r="B15" s="102" t="s">
        <v>193</v>
      </c>
      <c r="D15" s="34"/>
      <c r="E15" s="34">
        <v>399</v>
      </c>
      <c r="F15" s="250">
        <v>430</v>
      </c>
      <c r="G15" s="34"/>
      <c r="H15" s="34"/>
      <c r="I15" s="34">
        <v>402</v>
      </c>
      <c r="J15" s="34"/>
      <c r="K15" s="250">
        <v>457</v>
      </c>
      <c r="L15" s="34"/>
      <c r="M15" s="250">
        <v>417</v>
      </c>
      <c r="N15" s="275">
        <v>434</v>
      </c>
      <c r="O15" s="168">
        <f t="shared" si="0"/>
        <v>2539</v>
      </c>
      <c r="P15" s="102">
        <v>6</v>
      </c>
      <c r="Q15" s="102">
        <v>2</v>
      </c>
      <c r="R15" s="168">
        <v>149</v>
      </c>
      <c r="S15" s="102">
        <v>2</v>
      </c>
      <c r="T15" s="317">
        <v>1</v>
      </c>
      <c r="U15" s="317"/>
      <c r="V15" s="317"/>
    </row>
    <row r="16" spans="1:22" s="47" customFormat="1" ht="15.75">
      <c r="A16" s="47" t="s">
        <v>10</v>
      </c>
      <c r="B16" s="47" t="s">
        <v>241</v>
      </c>
      <c r="D16" s="35"/>
      <c r="E16" s="202">
        <v>430</v>
      </c>
      <c r="F16" s="35">
        <v>406</v>
      </c>
      <c r="G16" s="35"/>
      <c r="H16" s="35"/>
      <c r="I16" s="35">
        <v>384</v>
      </c>
      <c r="J16" s="35"/>
      <c r="K16" s="35">
        <v>408</v>
      </c>
      <c r="L16" s="35">
        <v>407</v>
      </c>
      <c r="M16" s="35"/>
      <c r="N16" s="33">
        <v>426</v>
      </c>
      <c r="O16" s="245">
        <f>SUM(B16:N16)</f>
        <v>2461</v>
      </c>
      <c r="P16" s="47">
        <v>1</v>
      </c>
      <c r="Q16" s="47">
        <v>7</v>
      </c>
      <c r="R16" s="245">
        <v>-166</v>
      </c>
      <c r="S16" s="47">
        <v>0</v>
      </c>
      <c r="T16" s="291"/>
      <c r="U16" s="291"/>
      <c r="V16" s="291">
        <v>1</v>
      </c>
    </row>
    <row r="17" spans="1:22" s="146" customFormat="1" ht="15.75">
      <c r="A17" s="146" t="s">
        <v>11</v>
      </c>
      <c r="B17" s="149" t="s">
        <v>234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4"/>
      <c r="O17" s="175" t="s">
        <v>234</v>
      </c>
      <c r="P17" s="176"/>
      <c r="Q17" s="176"/>
      <c r="R17" s="177"/>
      <c r="S17" s="176"/>
      <c r="T17" s="327"/>
      <c r="U17" s="327"/>
      <c r="V17" s="327"/>
    </row>
    <row r="18" spans="1:22" s="47" customFormat="1" ht="15.75">
      <c r="A18" s="47" t="s">
        <v>12</v>
      </c>
      <c r="B18" s="47" t="s">
        <v>25</v>
      </c>
      <c r="D18" s="35"/>
      <c r="E18" s="35">
        <v>420</v>
      </c>
      <c r="F18" s="35">
        <v>422</v>
      </c>
      <c r="G18" s="35"/>
      <c r="H18" s="35"/>
      <c r="I18" s="35">
        <v>420</v>
      </c>
      <c r="J18" s="35"/>
      <c r="K18" s="202">
        <v>435</v>
      </c>
      <c r="L18" s="35"/>
      <c r="M18" s="202">
        <v>429</v>
      </c>
      <c r="N18" s="326">
        <v>436</v>
      </c>
      <c r="O18" s="245">
        <f>SUM(C18:N18)</f>
        <v>2562</v>
      </c>
      <c r="P18" s="47">
        <v>3</v>
      </c>
      <c r="Q18" s="47">
        <v>5</v>
      </c>
      <c r="R18" s="245">
        <v>-41</v>
      </c>
      <c r="S18" s="47">
        <v>0</v>
      </c>
      <c r="T18" s="291"/>
      <c r="U18" s="291"/>
      <c r="V18" s="291">
        <v>1</v>
      </c>
    </row>
    <row r="19" spans="1:22" s="47" customFormat="1" ht="15.75">
      <c r="A19" s="47" t="s">
        <v>13</v>
      </c>
      <c r="B19" s="47" t="s">
        <v>194</v>
      </c>
      <c r="C19" s="202">
        <v>466</v>
      </c>
      <c r="D19" s="35"/>
      <c r="E19" s="35">
        <v>439</v>
      </c>
      <c r="F19" s="202">
        <v>456</v>
      </c>
      <c r="G19" s="35"/>
      <c r="H19" s="35"/>
      <c r="I19" s="35"/>
      <c r="J19" s="35"/>
      <c r="K19" s="202">
        <v>454</v>
      </c>
      <c r="L19" s="35"/>
      <c r="M19" s="35">
        <v>427</v>
      </c>
      <c r="N19" s="33">
        <v>450</v>
      </c>
      <c r="O19" s="245">
        <f>SUM(B19:N19)</f>
        <v>2692</v>
      </c>
      <c r="P19" s="47">
        <v>3</v>
      </c>
      <c r="Q19" s="47">
        <v>5</v>
      </c>
      <c r="R19" s="245">
        <v>-22</v>
      </c>
      <c r="S19" s="47">
        <v>0</v>
      </c>
      <c r="T19" s="291"/>
      <c r="U19" s="291"/>
      <c r="V19" s="291">
        <v>1</v>
      </c>
    </row>
    <row r="20" spans="1:22" s="102" customFormat="1" ht="15.75">
      <c r="A20" s="102" t="s">
        <v>14</v>
      </c>
      <c r="B20" s="36" t="s">
        <v>238</v>
      </c>
      <c r="C20" s="102">
        <v>406</v>
      </c>
      <c r="D20" s="34"/>
      <c r="E20" s="34">
        <v>414</v>
      </c>
      <c r="F20" s="34">
        <v>406</v>
      </c>
      <c r="G20" s="34"/>
      <c r="H20" s="34"/>
      <c r="I20" s="34"/>
      <c r="J20" s="34"/>
      <c r="K20" s="250">
        <v>442</v>
      </c>
      <c r="L20" s="34"/>
      <c r="M20" s="250">
        <v>429</v>
      </c>
      <c r="N20" s="275">
        <v>455</v>
      </c>
      <c r="O20" s="168">
        <f>SUM(C20:N20)</f>
        <v>2552</v>
      </c>
      <c r="P20" s="102">
        <v>5</v>
      </c>
      <c r="Q20" s="102">
        <v>3</v>
      </c>
      <c r="R20" s="168">
        <v>67</v>
      </c>
      <c r="S20" s="102">
        <v>2</v>
      </c>
      <c r="T20" s="317">
        <v>1</v>
      </c>
      <c r="U20" s="317"/>
      <c r="V20" s="317"/>
    </row>
    <row r="21" spans="1:22" s="47" customFormat="1" ht="15.75">
      <c r="A21" s="47" t="s">
        <v>239</v>
      </c>
      <c r="B21" s="47" t="s">
        <v>15</v>
      </c>
      <c r="D21" s="35"/>
      <c r="E21" s="202">
        <v>422</v>
      </c>
      <c r="F21" s="35">
        <v>381</v>
      </c>
      <c r="G21" s="35"/>
      <c r="H21" s="35"/>
      <c r="I21" s="35"/>
      <c r="J21" s="35">
        <v>418</v>
      </c>
      <c r="K21" s="35">
        <v>407</v>
      </c>
      <c r="L21" s="202">
        <v>463</v>
      </c>
      <c r="M21" s="35"/>
      <c r="N21" s="326">
        <v>440</v>
      </c>
      <c r="O21" s="245">
        <f>SUM(C21:N21)</f>
        <v>2531</v>
      </c>
      <c r="P21" s="47">
        <v>3</v>
      </c>
      <c r="Q21" s="47">
        <v>5</v>
      </c>
      <c r="R21" s="245">
        <v>-7</v>
      </c>
      <c r="S21" s="47">
        <v>0</v>
      </c>
      <c r="T21" s="291"/>
      <c r="U21" s="291"/>
      <c r="V21" s="291">
        <v>1</v>
      </c>
    </row>
    <row r="22" spans="1:22" s="102" customFormat="1" ht="16.5" thickBot="1">
      <c r="A22" s="102" t="s">
        <v>240</v>
      </c>
      <c r="B22" s="34" t="s">
        <v>21</v>
      </c>
      <c r="C22" s="171"/>
      <c r="D22" s="150"/>
      <c r="E22" s="354">
        <v>448</v>
      </c>
      <c r="F22" s="354">
        <v>429</v>
      </c>
      <c r="G22" s="150"/>
      <c r="H22" s="150"/>
      <c r="I22" s="150"/>
      <c r="J22" s="354">
        <v>469</v>
      </c>
      <c r="K22" s="354">
        <v>451</v>
      </c>
      <c r="L22" s="354">
        <v>410</v>
      </c>
      <c r="M22" s="150">
        <v>400</v>
      </c>
      <c r="N22" s="169"/>
      <c r="O22" s="170">
        <f>SUM(C22:N22)</f>
        <v>2607</v>
      </c>
      <c r="P22" s="171">
        <v>7</v>
      </c>
      <c r="Q22" s="171">
        <v>1</v>
      </c>
      <c r="R22" s="170">
        <v>271</v>
      </c>
      <c r="S22" s="171">
        <v>2</v>
      </c>
      <c r="T22" s="328">
        <v>1</v>
      </c>
      <c r="U22" s="328"/>
      <c r="V22" s="328"/>
    </row>
    <row r="23" spans="3:22" ht="16.5" thickTop="1">
      <c r="C23" s="6">
        <f>SUM(C6:C22)</f>
        <v>1823</v>
      </c>
      <c r="D23" s="6">
        <f aca="true" t="shared" si="1" ref="D23:I23">SUM(D6:D22)</f>
        <v>737</v>
      </c>
      <c r="E23" s="6">
        <f t="shared" si="1"/>
        <v>6351</v>
      </c>
      <c r="F23" s="6">
        <f t="shared" si="1"/>
        <v>5066</v>
      </c>
      <c r="G23" s="6">
        <f t="shared" si="1"/>
        <v>0</v>
      </c>
      <c r="H23" s="6">
        <f t="shared" si="1"/>
        <v>406</v>
      </c>
      <c r="I23" s="6">
        <f t="shared" si="1"/>
        <v>3648</v>
      </c>
      <c r="J23" s="6">
        <f>SUM(J7:J22)</f>
        <v>887</v>
      </c>
      <c r="K23" s="6">
        <f>SUM(K6:K22)</f>
        <v>6934</v>
      </c>
      <c r="L23" s="6">
        <f>SUM(L6:L22)</f>
        <v>4273</v>
      </c>
      <c r="M23" s="6">
        <f>SUM(M6:M22)</f>
        <v>4095</v>
      </c>
      <c r="N23" s="6">
        <f>SUM(N6:N22)</f>
        <v>6599</v>
      </c>
      <c r="T23" s="67">
        <f>SUM(T6:T22)</f>
        <v>7</v>
      </c>
      <c r="U23" s="67">
        <f>SUM(U6:U22)</f>
        <v>1</v>
      </c>
      <c r="V23" s="67">
        <f>SUM(V6:V22)</f>
        <v>8</v>
      </c>
    </row>
    <row r="24" spans="2:20" ht="15.75">
      <c r="B24" s="1" t="s">
        <v>173</v>
      </c>
      <c r="C24" s="6">
        <f aca="true" t="shared" si="2" ref="C24:I24">COUNT(C6:C22)</f>
        <v>4</v>
      </c>
      <c r="D24" s="6">
        <f t="shared" si="2"/>
        <v>2</v>
      </c>
      <c r="E24" s="6">
        <f t="shared" si="2"/>
        <v>15</v>
      </c>
      <c r="F24" s="6">
        <f t="shared" si="2"/>
        <v>12</v>
      </c>
      <c r="G24" s="6">
        <f t="shared" si="2"/>
        <v>0</v>
      </c>
      <c r="H24" s="6">
        <f t="shared" si="2"/>
        <v>1</v>
      </c>
      <c r="I24" s="6">
        <f t="shared" si="2"/>
        <v>9</v>
      </c>
      <c r="J24" s="6">
        <f>COUNT(J7:J22)</f>
        <v>2</v>
      </c>
      <c r="K24" s="6">
        <f>COUNT(K6:K22)</f>
        <v>16</v>
      </c>
      <c r="L24" s="6">
        <f>COUNT(L6:L22)</f>
        <v>10</v>
      </c>
      <c r="M24" s="6">
        <f>COUNT(M6:M22)</f>
        <v>10</v>
      </c>
      <c r="N24" s="6">
        <f>COUNT(N6:N22)</f>
        <v>15</v>
      </c>
      <c r="T24"/>
    </row>
    <row r="25" spans="2:23" ht="35.25" customHeight="1">
      <c r="B25" s="11" t="s">
        <v>119</v>
      </c>
      <c r="C25" s="16">
        <f>AVERAGE(C6:C22)</f>
        <v>455.75</v>
      </c>
      <c r="D25" s="16">
        <f>AVERAGE(D6:D22)</f>
        <v>368.5</v>
      </c>
      <c r="E25" s="16">
        <f>AVERAGE(E6:E22)</f>
        <v>423.4</v>
      </c>
      <c r="F25" s="16">
        <f aca="true" t="shared" si="3" ref="F25:N25">AVERAGE(F6:F22)</f>
        <v>422.1666666666667</v>
      </c>
      <c r="G25" s="16"/>
      <c r="H25" s="16">
        <f t="shared" si="3"/>
        <v>406</v>
      </c>
      <c r="I25" s="16">
        <f>AVERAGE(I6:I22)</f>
        <v>405.3333333333333</v>
      </c>
      <c r="J25" s="16">
        <f>AVERAGE(J6:J22)</f>
        <v>443.5</v>
      </c>
      <c r="K25" s="16">
        <f t="shared" si="3"/>
        <v>433.375</v>
      </c>
      <c r="L25" s="16">
        <f>AVERAGE(L6:L22)</f>
        <v>427.3</v>
      </c>
      <c r="M25" s="16">
        <f t="shared" si="3"/>
        <v>409.5</v>
      </c>
      <c r="N25" s="16">
        <f t="shared" si="3"/>
        <v>439.93333333333334</v>
      </c>
      <c r="O25" s="16"/>
      <c r="P25" s="3" t="s">
        <v>29</v>
      </c>
      <c r="Q25" s="461" t="s">
        <v>109</v>
      </c>
      <c r="R25" s="461"/>
      <c r="S25" s="3" t="s">
        <v>30</v>
      </c>
      <c r="T25" s="10" t="s">
        <v>110</v>
      </c>
      <c r="V25" s="64" t="s">
        <v>118</v>
      </c>
      <c r="W25" s="63" t="s">
        <v>209</v>
      </c>
    </row>
    <row r="26" spans="16:23" ht="15.75">
      <c r="P26" s="6">
        <f>SUM(O6:O22)</f>
        <v>40819</v>
      </c>
      <c r="Q26" s="1">
        <f>SUM(P6:P22)</f>
        <v>62</v>
      </c>
      <c r="R26" s="1">
        <f>SUM(Q6:Q22)</f>
        <v>66</v>
      </c>
      <c r="S26" s="1">
        <f>SUM(R6:R22)</f>
        <v>557</v>
      </c>
      <c r="T26" s="1">
        <f>SUM(S6:S22)</f>
        <v>15</v>
      </c>
      <c r="V26" s="2">
        <f>Q26-R26</f>
        <v>-4</v>
      </c>
      <c r="W26" s="2">
        <f>SUM(T23:V23)</f>
        <v>16</v>
      </c>
    </row>
    <row r="27" spans="3:12" ht="15.75">
      <c r="C27" s="463" t="s">
        <v>37</v>
      </c>
      <c r="D27" s="463"/>
      <c r="F27" s="458" t="s">
        <v>124</v>
      </c>
      <c r="G27" s="458"/>
      <c r="H27" s="458"/>
      <c r="I27" s="458"/>
      <c r="K27" s="462" t="s">
        <v>125</v>
      </c>
      <c r="L27" s="462"/>
    </row>
    <row r="28" spans="1:23" ht="16.5" thickBo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123"/>
      <c r="V28" s="123"/>
      <c r="W28" s="123"/>
    </row>
    <row r="29" spans="1:8" ht="15.75">
      <c r="A29" s="42"/>
      <c r="B29" s="40"/>
      <c r="C29" s="40"/>
      <c r="D29" s="40"/>
      <c r="E29" s="41"/>
      <c r="F29" s="40"/>
      <c r="G29" s="40"/>
      <c r="H29" s="40"/>
    </row>
    <row r="30" spans="2:22" ht="36.75" customHeight="1" thickBot="1">
      <c r="B30" s="3" t="s">
        <v>24</v>
      </c>
      <c r="C30" s="180" t="s">
        <v>36</v>
      </c>
      <c r="D30" s="8" t="s">
        <v>278</v>
      </c>
      <c r="E30" s="8" t="s">
        <v>62</v>
      </c>
      <c r="F30" s="8" t="s">
        <v>63</v>
      </c>
      <c r="G30" s="8" t="s">
        <v>233</v>
      </c>
      <c r="H30" s="8" t="s">
        <v>292</v>
      </c>
      <c r="I30" s="8" t="s">
        <v>277</v>
      </c>
      <c r="J30" s="8" t="s">
        <v>90</v>
      </c>
      <c r="K30" s="8" t="s">
        <v>34</v>
      </c>
      <c r="L30" s="8" t="s">
        <v>185</v>
      </c>
      <c r="M30" s="8" t="s">
        <v>32</v>
      </c>
      <c r="N30" s="8" t="s">
        <v>245</v>
      </c>
      <c r="O30" s="3" t="s">
        <v>29</v>
      </c>
      <c r="P30" s="3" t="s">
        <v>23</v>
      </c>
      <c r="Q30" s="3" t="s">
        <v>28</v>
      </c>
      <c r="R30" s="3" t="s">
        <v>30</v>
      </c>
      <c r="S30" s="10" t="s">
        <v>108</v>
      </c>
      <c r="T30" s="2" t="s">
        <v>174</v>
      </c>
      <c r="U30" s="2" t="s">
        <v>175</v>
      </c>
      <c r="V30" s="2" t="s">
        <v>176</v>
      </c>
    </row>
    <row r="31" spans="1:22" s="106" customFormat="1" ht="15.75">
      <c r="A31" s="19" t="s">
        <v>145</v>
      </c>
      <c r="B31" s="102" t="s">
        <v>17</v>
      </c>
      <c r="C31" s="85"/>
      <c r="D31" s="95"/>
      <c r="E31" s="95">
        <v>409</v>
      </c>
      <c r="F31" s="95">
        <v>415</v>
      </c>
      <c r="G31" s="95"/>
      <c r="H31" s="95"/>
      <c r="I31" s="95"/>
      <c r="J31" s="201">
        <v>471</v>
      </c>
      <c r="K31" s="95">
        <v>429</v>
      </c>
      <c r="L31" s="95">
        <v>407</v>
      </c>
      <c r="M31" s="95"/>
      <c r="N31" s="201">
        <v>438</v>
      </c>
      <c r="O31" s="105">
        <f>SUM(C31:N31)</f>
        <v>2569</v>
      </c>
      <c r="P31" s="103">
        <v>2</v>
      </c>
      <c r="Q31" s="103">
        <v>6</v>
      </c>
      <c r="R31" s="103">
        <v>-111</v>
      </c>
      <c r="S31" s="103">
        <v>0</v>
      </c>
      <c r="V31" s="106">
        <v>1</v>
      </c>
    </row>
    <row r="32" spans="1:20" s="231" customFormat="1" ht="15.75">
      <c r="A32" s="25" t="s">
        <v>146</v>
      </c>
      <c r="B32" s="47" t="s">
        <v>193</v>
      </c>
      <c r="C32" s="91"/>
      <c r="D32" s="93"/>
      <c r="E32" s="93">
        <v>385</v>
      </c>
      <c r="F32" s="203">
        <v>426</v>
      </c>
      <c r="G32" s="93"/>
      <c r="H32" s="93"/>
      <c r="I32" s="93"/>
      <c r="J32" s="203">
        <v>404</v>
      </c>
      <c r="K32" s="93"/>
      <c r="L32" s="93">
        <v>381</v>
      </c>
      <c r="M32" s="203">
        <v>411</v>
      </c>
      <c r="N32" s="203">
        <v>416</v>
      </c>
      <c r="O32" s="200">
        <f aca="true" t="shared" si="4" ref="O32:O47">SUM(C32:N32)</f>
        <v>2423</v>
      </c>
      <c r="P32" s="193">
        <v>6</v>
      </c>
      <c r="Q32" s="193">
        <v>2</v>
      </c>
      <c r="R32" s="193">
        <v>67</v>
      </c>
      <c r="S32" s="193">
        <v>2</v>
      </c>
      <c r="T32" s="231">
        <v>1</v>
      </c>
    </row>
    <row r="33" spans="1:22" s="23" customFormat="1" ht="15.75">
      <c r="A33" s="204" t="s">
        <v>147</v>
      </c>
      <c r="B33" s="206" t="s">
        <v>241</v>
      </c>
      <c r="C33" s="211"/>
      <c r="D33" s="254"/>
      <c r="E33" s="254"/>
      <c r="F33" s="254">
        <v>401</v>
      </c>
      <c r="G33" s="254"/>
      <c r="H33" s="254"/>
      <c r="I33" s="254">
        <v>391</v>
      </c>
      <c r="J33" s="254">
        <v>410</v>
      </c>
      <c r="K33" s="344">
        <v>447</v>
      </c>
      <c r="L33" s="254">
        <v>423</v>
      </c>
      <c r="M33" s="344">
        <v>448</v>
      </c>
      <c r="N33" s="254"/>
      <c r="O33" s="58">
        <f t="shared" si="4"/>
        <v>2520</v>
      </c>
      <c r="P33" s="19">
        <v>2</v>
      </c>
      <c r="Q33" s="19">
        <v>6</v>
      </c>
      <c r="R33" s="19">
        <v>-211</v>
      </c>
      <c r="S33" s="19">
        <v>0</v>
      </c>
      <c r="V33" s="23">
        <v>1</v>
      </c>
    </row>
    <row r="34" spans="1:19" s="148" customFormat="1" ht="15.75">
      <c r="A34" s="145" t="s">
        <v>148</v>
      </c>
      <c r="B34" s="149" t="s">
        <v>234</v>
      </c>
      <c r="C34" s="370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20"/>
      <c r="O34" s="367" t="s">
        <v>234</v>
      </c>
      <c r="P34" s="368"/>
      <c r="Q34" s="368"/>
      <c r="R34" s="368"/>
      <c r="S34" s="368"/>
    </row>
    <row r="35" spans="1:22" s="211" customFormat="1" ht="15.75">
      <c r="A35" s="83" t="s">
        <v>149</v>
      </c>
      <c r="B35" s="96" t="s">
        <v>25</v>
      </c>
      <c r="C35" s="106"/>
      <c r="D35" s="154"/>
      <c r="E35" s="154"/>
      <c r="F35" s="154">
        <v>410</v>
      </c>
      <c r="G35" s="154"/>
      <c r="H35" s="154"/>
      <c r="I35" s="154"/>
      <c r="J35" s="350">
        <v>435</v>
      </c>
      <c r="K35" s="154">
        <v>431</v>
      </c>
      <c r="L35" s="350">
        <v>443</v>
      </c>
      <c r="M35" s="154">
        <v>421</v>
      </c>
      <c r="N35" s="154">
        <v>418</v>
      </c>
      <c r="O35" s="366">
        <f t="shared" si="4"/>
        <v>2558</v>
      </c>
      <c r="P35" s="204">
        <v>2</v>
      </c>
      <c r="Q35" s="204">
        <v>6</v>
      </c>
      <c r="R35" s="204">
        <v>-77</v>
      </c>
      <c r="S35" s="204">
        <v>0</v>
      </c>
      <c r="V35" s="211">
        <v>1</v>
      </c>
    </row>
    <row r="36" spans="1:22" s="106" customFormat="1" ht="15.75">
      <c r="A36" s="19" t="s">
        <v>150</v>
      </c>
      <c r="B36" s="102" t="s">
        <v>194</v>
      </c>
      <c r="C36" s="85"/>
      <c r="D36" s="95"/>
      <c r="E36" s="95">
        <v>405</v>
      </c>
      <c r="F36" s="201">
        <v>454</v>
      </c>
      <c r="G36" s="95"/>
      <c r="H36" s="95"/>
      <c r="I36" s="95">
        <v>408</v>
      </c>
      <c r="J36" s="95">
        <v>437</v>
      </c>
      <c r="K36" s="95"/>
      <c r="L36" s="201">
        <v>443</v>
      </c>
      <c r="M36" s="95">
        <v>420</v>
      </c>
      <c r="N36" s="95"/>
      <c r="O36" s="105">
        <f t="shared" si="4"/>
        <v>2567</v>
      </c>
      <c r="P36" s="103">
        <v>2</v>
      </c>
      <c r="Q36" s="103">
        <v>6</v>
      </c>
      <c r="R36" s="103">
        <v>-50</v>
      </c>
      <c r="S36" s="103">
        <v>0</v>
      </c>
      <c r="V36" s="106">
        <v>1</v>
      </c>
    </row>
    <row r="37" spans="1:20" s="231" customFormat="1" ht="15.75">
      <c r="A37" s="25" t="s">
        <v>151</v>
      </c>
      <c r="B37" s="39" t="s">
        <v>238</v>
      </c>
      <c r="C37" s="91"/>
      <c r="D37" s="93"/>
      <c r="E37" s="203">
        <v>437</v>
      </c>
      <c r="F37" s="93">
        <v>430</v>
      </c>
      <c r="G37" s="93"/>
      <c r="H37" s="93"/>
      <c r="I37" s="93"/>
      <c r="J37" s="93"/>
      <c r="K37" s="203">
        <v>439</v>
      </c>
      <c r="L37" s="93">
        <v>413</v>
      </c>
      <c r="M37" s="93">
        <v>401</v>
      </c>
      <c r="N37" s="203">
        <v>449</v>
      </c>
      <c r="O37" s="200">
        <f t="shared" si="4"/>
        <v>2569</v>
      </c>
      <c r="P37" s="193">
        <v>5</v>
      </c>
      <c r="Q37" s="193">
        <v>3</v>
      </c>
      <c r="R37" s="193">
        <v>30</v>
      </c>
      <c r="S37" s="193">
        <v>2</v>
      </c>
      <c r="T37" s="231">
        <v>1</v>
      </c>
    </row>
    <row r="38" spans="1:20" s="106" customFormat="1" ht="15.75">
      <c r="A38" s="19" t="s">
        <v>152</v>
      </c>
      <c r="B38" s="102" t="s">
        <v>15</v>
      </c>
      <c r="C38" s="85"/>
      <c r="D38" s="95"/>
      <c r="E38" s="95"/>
      <c r="F38" s="95">
        <v>414</v>
      </c>
      <c r="G38" s="95"/>
      <c r="H38" s="95"/>
      <c r="I38" s="95">
        <v>402</v>
      </c>
      <c r="J38" s="95"/>
      <c r="K38" s="201">
        <v>449</v>
      </c>
      <c r="L38" s="201">
        <v>473</v>
      </c>
      <c r="M38" s="95">
        <v>433</v>
      </c>
      <c r="N38" s="201">
        <v>447</v>
      </c>
      <c r="O38" s="105">
        <f t="shared" si="4"/>
        <v>2618</v>
      </c>
      <c r="P38" s="103">
        <v>5</v>
      </c>
      <c r="Q38" s="103">
        <v>3</v>
      </c>
      <c r="R38" s="103">
        <v>24</v>
      </c>
      <c r="S38" s="103">
        <v>2</v>
      </c>
      <c r="T38" s="106">
        <v>1</v>
      </c>
    </row>
    <row r="39" spans="1:20" s="231" customFormat="1" ht="15.75">
      <c r="A39" s="25" t="s">
        <v>153</v>
      </c>
      <c r="B39" s="35" t="s">
        <v>21</v>
      </c>
      <c r="C39" s="91"/>
      <c r="D39" s="93"/>
      <c r="E39" s="93"/>
      <c r="F39" s="203">
        <v>421</v>
      </c>
      <c r="G39" s="93"/>
      <c r="H39" s="93"/>
      <c r="I39" s="93"/>
      <c r="J39" s="203">
        <v>490</v>
      </c>
      <c r="K39" s="93">
        <v>401</v>
      </c>
      <c r="L39" s="93">
        <v>404</v>
      </c>
      <c r="M39" s="203">
        <v>431</v>
      </c>
      <c r="N39" s="203">
        <v>448</v>
      </c>
      <c r="O39" s="200">
        <f t="shared" si="4"/>
        <v>2595</v>
      </c>
      <c r="P39" s="193">
        <v>6</v>
      </c>
      <c r="Q39" s="193">
        <v>2</v>
      </c>
      <c r="R39" s="193">
        <v>125</v>
      </c>
      <c r="S39" s="193">
        <v>2</v>
      </c>
      <c r="T39" s="231">
        <v>1</v>
      </c>
    </row>
    <row r="40" spans="1:20" s="23" customFormat="1" ht="15.75">
      <c r="A40" s="204" t="s">
        <v>154</v>
      </c>
      <c r="B40" s="205" t="s">
        <v>20</v>
      </c>
      <c r="C40" s="211"/>
      <c r="D40" s="254"/>
      <c r="E40" s="254">
        <v>389</v>
      </c>
      <c r="F40" s="254"/>
      <c r="G40" s="254"/>
      <c r="H40" s="254"/>
      <c r="I40" s="254"/>
      <c r="J40" s="344">
        <v>424</v>
      </c>
      <c r="K40" s="344">
        <v>421</v>
      </c>
      <c r="L40" s="344">
        <v>447</v>
      </c>
      <c r="M40" s="254">
        <v>418</v>
      </c>
      <c r="N40" s="344">
        <v>472</v>
      </c>
      <c r="O40" s="58">
        <f t="shared" si="4"/>
        <v>2571</v>
      </c>
      <c r="P40" s="19">
        <v>6</v>
      </c>
      <c r="Q40" s="19">
        <v>2</v>
      </c>
      <c r="R40" s="19">
        <v>77</v>
      </c>
      <c r="S40" s="19">
        <v>2</v>
      </c>
      <c r="T40" s="23">
        <v>1</v>
      </c>
    </row>
    <row r="41" spans="1:21" s="231" customFormat="1" ht="15.75">
      <c r="A41" s="25" t="s">
        <v>155</v>
      </c>
      <c r="B41" s="35" t="s">
        <v>22</v>
      </c>
      <c r="C41" s="91"/>
      <c r="D41" s="93"/>
      <c r="E41" s="93"/>
      <c r="F41" s="203">
        <v>432</v>
      </c>
      <c r="G41" s="93"/>
      <c r="H41" s="93"/>
      <c r="I41" s="93"/>
      <c r="J41" s="203">
        <v>453</v>
      </c>
      <c r="K41" s="93">
        <v>411</v>
      </c>
      <c r="L41" s="93">
        <v>403</v>
      </c>
      <c r="M41" s="93">
        <v>406</v>
      </c>
      <c r="N41" s="93">
        <v>421</v>
      </c>
      <c r="O41" s="200">
        <f>SUM(C41:N41)</f>
        <v>2526</v>
      </c>
      <c r="P41" s="193">
        <v>4</v>
      </c>
      <c r="Q41" s="193">
        <v>4</v>
      </c>
      <c r="R41" s="193">
        <v>21</v>
      </c>
      <c r="S41" s="193">
        <v>1</v>
      </c>
      <c r="U41" s="231">
        <v>1</v>
      </c>
    </row>
    <row r="42" spans="1:22" s="211" customFormat="1" ht="15.75">
      <c r="A42" s="83" t="s">
        <v>156</v>
      </c>
      <c r="B42" s="95" t="s">
        <v>195</v>
      </c>
      <c r="C42" s="106"/>
      <c r="D42" s="154"/>
      <c r="E42" s="350">
        <v>424</v>
      </c>
      <c r="F42" s="154">
        <v>421</v>
      </c>
      <c r="G42" s="154"/>
      <c r="H42" s="154"/>
      <c r="I42" s="154"/>
      <c r="J42" s="154">
        <v>413</v>
      </c>
      <c r="K42" s="350">
        <v>433</v>
      </c>
      <c r="L42" s="350">
        <v>433</v>
      </c>
      <c r="M42" s="154"/>
      <c r="N42" s="154">
        <v>419</v>
      </c>
      <c r="O42" s="366">
        <f t="shared" si="4"/>
        <v>2543</v>
      </c>
      <c r="P42" s="204">
        <v>3</v>
      </c>
      <c r="Q42" s="204">
        <v>5</v>
      </c>
      <c r="R42" s="204">
        <v>-20</v>
      </c>
      <c r="S42" s="204">
        <v>0</v>
      </c>
      <c r="V42" s="211">
        <v>1</v>
      </c>
    </row>
    <row r="43" spans="1:22" s="231" customFormat="1" ht="15.75">
      <c r="A43" s="25" t="s">
        <v>157</v>
      </c>
      <c r="B43" s="35" t="s">
        <v>196</v>
      </c>
      <c r="C43" s="91"/>
      <c r="D43" s="93"/>
      <c r="E43" s="93">
        <v>378</v>
      </c>
      <c r="F43" s="93">
        <v>371</v>
      </c>
      <c r="G43" s="93"/>
      <c r="H43" s="93"/>
      <c r="I43" s="93"/>
      <c r="J43" s="203">
        <v>390</v>
      </c>
      <c r="K43" s="203">
        <v>399</v>
      </c>
      <c r="L43" s="93">
        <v>376</v>
      </c>
      <c r="M43" s="93">
        <v>383</v>
      </c>
      <c r="N43" s="93"/>
      <c r="O43" s="200">
        <f t="shared" si="4"/>
        <v>2297</v>
      </c>
      <c r="P43" s="193">
        <v>2</v>
      </c>
      <c r="Q43" s="193">
        <v>6</v>
      </c>
      <c r="R43" s="193">
        <v>-82</v>
      </c>
      <c r="S43" s="193">
        <v>0</v>
      </c>
      <c r="V43" s="231">
        <v>1</v>
      </c>
    </row>
    <row r="44" spans="1:22" s="106" customFormat="1" ht="15.75">
      <c r="A44" s="19" t="s">
        <v>243</v>
      </c>
      <c r="B44" s="34" t="s">
        <v>192</v>
      </c>
      <c r="C44" s="85"/>
      <c r="D44" s="95"/>
      <c r="E44" s="95"/>
      <c r="F44" s="95">
        <v>422</v>
      </c>
      <c r="G44" s="95"/>
      <c r="H44" s="95"/>
      <c r="I44" s="95">
        <v>337</v>
      </c>
      <c r="J44" s="201">
        <v>445</v>
      </c>
      <c r="K44" s="201">
        <v>442</v>
      </c>
      <c r="L44" s="201">
        <v>445</v>
      </c>
      <c r="M44" s="95"/>
      <c r="N44" s="95">
        <v>409</v>
      </c>
      <c r="O44" s="105">
        <f t="shared" si="4"/>
        <v>2500</v>
      </c>
      <c r="P44" s="103">
        <v>3</v>
      </c>
      <c r="Q44" s="103">
        <v>5</v>
      </c>
      <c r="R44" s="103">
        <v>-91</v>
      </c>
      <c r="S44" s="103">
        <v>0</v>
      </c>
      <c r="V44" s="106">
        <v>1</v>
      </c>
    </row>
    <row r="45" spans="1:20" s="231" customFormat="1" ht="15.75">
      <c r="A45" s="25" t="s">
        <v>244</v>
      </c>
      <c r="B45" s="35" t="s">
        <v>272</v>
      </c>
      <c r="C45" s="91"/>
      <c r="D45" s="93"/>
      <c r="E45" s="203">
        <v>432</v>
      </c>
      <c r="F45" s="203">
        <v>433</v>
      </c>
      <c r="G45" s="93"/>
      <c r="H45" s="93"/>
      <c r="I45" s="93"/>
      <c r="J45" s="93">
        <v>415</v>
      </c>
      <c r="K45" s="203">
        <v>435</v>
      </c>
      <c r="L45" s="93">
        <v>425</v>
      </c>
      <c r="M45" s="93"/>
      <c r="N45" s="203">
        <v>426</v>
      </c>
      <c r="O45" s="200">
        <f t="shared" si="4"/>
        <v>2566</v>
      </c>
      <c r="P45" s="193">
        <v>6</v>
      </c>
      <c r="Q45" s="193">
        <v>2</v>
      </c>
      <c r="R45" s="193">
        <v>53</v>
      </c>
      <c r="S45" s="193">
        <v>2</v>
      </c>
      <c r="T45" s="231">
        <v>1</v>
      </c>
    </row>
    <row r="46" spans="1:20" s="23" customFormat="1" ht="15.75">
      <c r="A46" s="204" t="s">
        <v>266</v>
      </c>
      <c r="B46" s="205" t="s">
        <v>19</v>
      </c>
      <c r="C46" s="211"/>
      <c r="D46" s="254"/>
      <c r="E46" s="254">
        <v>432</v>
      </c>
      <c r="F46" s="254"/>
      <c r="G46" s="254"/>
      <c r="H46" s="254"/>
      <c r="I46" s="254"/>
      <c r="J46" s="254">
        <v>409</v>
      </c>
      <c r="K46" s="344">
        <v>449</v>
      </c>
      <c r="L46" s="344">
        <v>439</v>
      </c>
      <c r="M46" s="344">
        <v>445</v>
      </c>
      <c r="N46" s="344">
        <v>433</v>
      </c>
      <c r="O46" s="58">
        <f t="shared" si="4"/>
        <v>2607</v>
      </c>
      <c r="P46" s="19">
        <v>6</v>
      </c>
      <c r="Q46" s="19">
        <v>2</v>
      </c>
      <c r="R46" s="19">
        <v>34</v>
      </c>
      <c r="S46" s="19">
        <v>2</v>
      </c>
      <c r="T46" s="23">
        <v>1</v>
      </c>
    </row>
    <row r="47" spans="1:22" s="231" customFormat="1" ht="16.5" thickBot="1">
      <c r="A47" s="25" t="s">
        <v>267</v>
      </c>
      <c r="B47" s="47" t="s">
        <v>18</v>
      </c>
      <c r="C47" s="91"/>
      <c r="D47" s="94"/>
      <c r="E47" s="94">
        <v>409</v>
      </c>
      <c r="F47" s="447">
        <v>459</v>
      </c>
      <c r="G47" s="94"/>
      <c r="H47" s="94"/>
      <c r="I47" s="94"/>
      <c r="J47" s="94">
        <v>431</v>
      </c>
      <c r="K47" s="94">
        <v>431</v>
      </c>
      <c r="L47" s="94"/>
      <c r="M47" s="447">
        <v>439</v>
      </c>
      <c r="N47" s="447">
        <v>444</v>
      </c>
      <c r="O47" s="200">
        <f t="shared" si="4"/>
        <v>2613</v>
      </c>
      <c r="P47" s="364">
        <v>3</v>
      </c>
      <c r="Q47" s="364">
        <v>5</v>
      </c>
      <c r="R47" s="364">
        <v>-3</v>
      </c>
      <c r="S47" s="364">
        <v>0</v>
      </c>
      <c r="T47" s="242"/>
      <c r="U47" s="242"/>
      <c r="V47" s="242">
        <v>1</v>
      </c>
    </row>
    <row r="48" spans="3:22" ht="16.5" thickTop="1">
      <c r="C48" s="7">
        <f>SUM(C31:C47)</f>
        <v>0</v>
      </c>
      <c r="D48" s="7">
        <f>SUM(D31:D40)+SUM(D42:D47)</f>
        <v>0</v>
      </c>
      <c r="E48" s="7">
        <f>SUM(E31:E40)+SUM(E42:E47)</f>
        <v>4100</v>
      </c>
      <c r="F48" s="7">
        <f>SUM(F31:F45)+F47</f>
        <v>5909</v>
      </c>
      <c r="G48" s="7">
        <f>SUM(G31:G45)+G47</f>
        <v>0</v>
      </c>
      <c r="H48" s="7">
        <f>SUM(H31:H45)+H47</f>
        <v>0</v>
      </c>
      <c r="I48" s="7">
        <f>SUM(I31:I47)</f>
        <v>1538</v>
      </c>
      <c r="J48" s="7">
        <f>SUM(J31:J47)</f>
        <v>6027</v>
      </c>
      <c r="K48" s="7">
        <f>SUM(K31:K40)+SUM(K42:K47)</f>
        <v>5606</v>
      </c>
      <c r="L48" s="7">
        <f>SUM(L31:L47)</f>
        <v>6355</v>
      </c>
      <c r="M48" s="7">
        <f>SUM(M31:M47)</f>
        <v>5056</v>
      </c>
      <c r="N48" s="7">
        <f>SUM(N31:N40)+SUM(N47)</f>
        <v>3532</v>
      </c>
      <c r="P48" s="1">
        <f>SUM(P31:P47)</f>
        <v>63</v>
      </c>
      <c r="Q48" s="1">
        <f>SUM(Q31:Q47)</f>
        <v>65</v>
      </c>
      <c r="R48" s="1">
        <f>SUM(R31:R47)</f>
        <v>-214</v>
      </c>
      <c r="S48" s="1">
        <f>SUM(S31:S47)</f>
        <v>15</v>
      </c>
      <c r="T48" s="1">
        <f>SUM(T31:T47)+T23</f>
        <v>14</v>
      </c>
      <c r="U48" s="1">
        <f>SUM(U31:U47)+U23</f>
        <v>2</v>
      </c>
      <c r="V48" s="1">
        <f>SUM(V31:V47)+V23</f>
        <v>16</v>
      </c>
    </row>
    <row r="49" spans="2:14" ht="15.75">
      <c r="B49" s="57" t="s">
        <v>229</v>
      </c>
      <c r="C49" s="1">
        <f>COUNT(C31:C47)</f>
        <v>0</v>
      </c>
      <c r="D49" s="1">
        <f>COUNT(D31:D40)+COUNT(D42:D47)</f>
        <v>0</v>
      </c>
      <c r="E49" s="1">
        <f>COUNT(E31:E40)+COUNT(E42:E47)</f>
        <v>10</v>
      </c>
      <c r="F49" s="1">
        <f>COUNT(F31:F45)+COUNT(F47)</f>
        <v>14</v>
      </c>
      <c r="G49" s="1">
        <f>COUNT(G31:G45)+COUNT(G47)</f>
        <v>0</v>
      </c>
      <c r="H49" s="1">
        <f>COUNT(H31:H45)+COUNT(H47)</f>
        <v>0</v>
      </c>
      <c r="I49" s="1">
        <f>COUNT(I31:I47)</f>
        <v>4</v>
      </c>
      <c r="J49" s="1">
        <f>COUNT(J31:J47)</f>
        <v>14</v>
      </c>
      <c r="K49" s="1">
        <f>COUNT(K31:K40)+COUNT(K42:K47)</f>
        <v>13</v>
      </c>
      <c r="L49" s="1">
        <f>COUNT(L31:L47)</f>
        <v>15</v>
      </c>
      <c r="M49" s="1">
        <f>COUNT(M31:M47)</f>
        <v>12</v>
      </c>
      <c r="N49" s="1">
        <f>COUNT(N31:N40)+COUNT(N47)</f>
        <v>8</v>
      </c>
    </row>
    <row r="50" spans="2:23" ht="31.5">
      <c r="B50" s="10" t="s">
        <v>230</v>
      </c>
      <c r="C50" s="16"/>
      <c r="D50" s="16"/>
      <c r="E50" s="16">
        <f aca="true" t="shared" si="5" ref="E50:N50">E48/E49</f>
        <v>410</v>
      </c>
      <c r="F50" s="16">
        <f t="shared" si="5"/>
        <v>422.07142857142856</v>
      </c>
      <c r="G50" s="16"/>
      <c r="H50" s="16"/>
      <c r="I50" s="16">
        <f>I48/I49</f>
        <v>384.5</v>
      </c>
      <c r="J50" s="16">
        <f>J48/J49</f>
        <v>430.5</v>
      </c>
      <c r="K50" s="16">
        <f t="shared" si="5"/>
        <v>431.2307692307692</v>
      </c>
      <c r="L50" s="16">
        <f t="shared" si="5"/>
        <v>423.6666666666667</v>
      </c>
      <c r="M50" s="16">
        <f t="shared" si="5"/>
        <v>421.3333333333333</v>
      </c>
      <c r="N50" s="16">
        <f t="shared" si="5"/>
        <v>441.5</v>
      </c>
      <c r="P50" s="3" t="s">
        <v>29</v>
      </c>
      <c r="Q50" s="461" t="s">
        <v>109</v>
      </c>
      <c r="R50" s="461"/>
      <c r="S50" s="3" t="s">
        <v>30</v>
      </c>
      <c r="T50" s="10" t="s">
        <v>110</v>
      </c>
      <c r="V50" s="63" t="s">
        <v>118</v>
      </c>
      <c r="W50" s="63" t="s">
        <v>209</v>
      </c>
    </row>
    <row r="51" spans="16:23" ht="15.75">
      <c r="P51" s="6">
        <f>SUM(O31:O47)+P26</f>
        <v>81461</v>
      </c>
      <c r="Q51" s="6">
        <f>SUM(P31:P47)+Q26</f>
        <v>125</v>
      </c>
      <c r="R51" s="6">
        <f>SUM(Q31:Q47)+R26</f>
        <v>131</v>
      </c>
      <c r="S51" s="6">
        <f>SUM(R31:R47)+S26</f>
        <v>343</v>
      </c>
      <c r="T51" s="6">
        <f>SUM(S31:S47)+T26</f>
        <v>30</v>
      </c>
      <c r="V51" s="2">
        <f>Q51-R51</f>
        <v>-6</v>
      </c>
      <c r="W51" s="2">
        <f>SUM(T48:V48)</f>
        <v>32</v>
      </c>
    </row>
    <row r="53" spans="16:17" ht="15.75">
      <c r="P53" s="1" t="s">
        <v>120</v>
      </c>
      <c r="Q53" s="18">
        <f>P51/W51</f>
        <v>2545.65625</v>
      </c>
    </row>
  </sheetData>
  <sheetProtection/>
  <mergeCells count="11">
    <mergeCell ref="Q25:R25"/>
    <mergeCell ref="F27:I27"/>
    <mergeCell ref="E1:F1"/>
    <mergeCell ref="J1:K1"/>
    <mergeCell ref="M1:N1"/>
    <mergeCell ref="M2:N2"/>
    <mergeCell ref="Q50:R50"/>
    <mergeCell ref="K27:L27"/>
    <mergeCell ref="C4:O4"/>
    <mergeCell ref="Q4:R4"/>
    <mergeCell ref="C27:D27"/>
  </mergeCells>
  <printOptions/>
  <pageMargins left="0.75" right="0.75" top="1" bottom="1" header="0.5" footer="0.5"/>
  <pageSetup horizontalDpi="600" verticalDpi="600" orientation="portrait" paperSize="9" r:id="rId1"/>
  <ignoredErrors>
    <ignoredError sqref="F25" formula="1"/>
    <ignoredError sqref="J23:J24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zoomScale="90" zoomScaleNormal="90" zoomScalePageLayoutView="0" workbookViewId="0" topLeftCell="A24">
      <selection activeCell="L50" sqref="L50"/>
    </sheetView>
  </sheetViews>
  <sheetFormatPr defaultColWidth="9.00390625" defaultRowHeight="12.75"/>
  <cols>
    <col min="1" max="1" width="12.125" style="1" customWidth="1"/>
    <col min="2" max="2" width="21.00390625" style="1" bestFit="1" customWidth="1"/>
    <col min="3" max="3" width="9.75390625" style="1" customWidth="1"/>
    <col min="4" max="4" width="10.625" style="1" customWidth="1"/>
    <col min="5" max="5" width="9.00390625" style="1" customWidth="1"/>
    <col min="6" max="7" width="8.625" style="1" customWidth="1"/>
    <col min="8" max="8" width="11.125" style="1" customWidth="1"/>
    <col min="9" max="9" width="12.875" style="1" customWidth="1"/>
    <col min="10" max="11" width="12.00390625" style="1" customWidth="1"/>
    <col min="12" max="12" width="9.625" style="1" customWidth="1"/>
    <col min="13" max="13" width="9.375" style="1" customWidth="1"/>
    <col min="14" max="14" width="17.75390625" style="1" customWidth="1"/>
    <col min="15" max="15" width="11.25390625" style="1" customWidth="1"/>
    <col min="16" max="16" width="10.375" style="1" customWidth="1"/>
    <col min="17" max="17" width="13.375" style="1" customWidth="1"/>
    <col min="18" max="18" width="10.875" style="1" customWidth="1"/>
    <col min="19" max="19" width="9.25390625" style="2" bestFit="1" customWidth="1"/>
    <col min="20" max="20" width="15.125" style="2" bestFit="1" customWidth="1"/>
    <col min="21" max="21" width="12.125" style="2" customWidth="1"/>
  </cols>
  <sheetData>
    <row r="1" spans="1:15" ht="15.75">
      <c r="A1" s="48" t="s">
        <v>133</v>
      </c>
      <c r="B1" s="52"/>
      <c r="C1" s="49" t="s">
        <v>130</v>
      </c>
      <c r="D1" s="49" t="s">
        <v>131</v>
      </c>
      <c r="E1" s="459" t="s">
        <v>132</v>
      </c>
      <c r="F1" s="459"/>
      <c r="G1" s="49"/>
      <c r="I1" s="455" t="s">
        <v>143</v>
      </c>
      <c r="J1" s="455"/>
      <c r="K1" s="11" t="s">
        <v>144</v>
      </c>
      <c r="L1" s="455" t="s">
        <v>118</v>
      </c>
      <c r="M1" s="455"/>
      <c r="N1" s="1" t="s">
        <v>120</v>
      </c>
      <c r="O1" s="18">
        <f>N26/U26</f>
        <v>2596.875</v>
      </c>
    </row>
    <row r="2" spans="9:15" ht="15.75">
      <c r="I2" s="6">
        <f>O26+O48</f>
        <v>158</v>
      </c>
      <c r="J2" s="1">
        <f>P26+P48</f>
        <v>98</v>
      </c>
      <c r="K2" s="6">
        <f>R26+R48</f>
        <v>47</v>
      </c>
      <c r="L2" s="464">
        <f>I2-J2</f>
        <v>60</v>
      </c>
      <c r="M2" s="460"/>
      <c r="N2" s="1" t="s">
        <v>216</v>
      </c>
      <c r="O2" s="6">
        <f>N6+N9+N11+N13+N15+N17+N19+N21+N31+N35+N37+N39+N41+N42+N44+N46</f>
        <v>41616</v>
      </c>
    </row>
    <row r="3" spans="9:15" ht="15.75">
      <c r="I3" s="6"/>
      <c r="O3" s="6"/>
    </row>
    <row r="4" spans="3:16" ht="15.75">
      <c r="C4" s="461" t="s">
        <v>26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O4" s="461" t="s">
        <v>27</v>
      </c>
      <c r="P4" s="461"/>
    </row>
    <row r="5" spans="2:21" ht="32.25" thickBot="1">
      <c r="B5" s="3" t="s">
        <v>24</v>
      </c>
      <c r="C5" s="8" t="s">
        <v>38</v>
      </c>
      <c r="D5" s="8" t="s">
        <v>39</v>
      </c>
      <c r="E5" s="180" t="s">
        <v>287</v>
      </c>
      <c r="F5" s="8" t="s">
        <v>41</v>
      </c>
      <c r="G5" s="8" t="s">
        <v>50</v>
      </c>
      <c r="H5" s="8" t="s">
        <v>42</v>
      </c>
      <c r="I5" s="8" t="s">
        <v>43</v>
      </c>
      <c r="J5" s="8" t="s">
        <v>104</v>
      </c>
      <c r="K5" s="8" t="s">
        <v>262</v>
      </c>
      <c r="L5" s="8" t="s">
        <v>117</v>
      </c>
      <c r="M5" s="8" t="s">
        <v>288</v>
      </c>
      <c r="N5" s="3" t="s">
        <v>29</v>
      </c>
      <c r="O5" s="3" t="s">
        <v>25</v>
      </c>
      <c r="P5" s="3" t="s">
        <v>28</v>
      </c>
      <c r="Q5" s="3" t="s">
        <v>30</v>
      </c>
      <c r="R5" s="10" t="s">
        <v>108</v>
      </c>
      <c r="S5" s="2" t="s">
        <v>174</v>
      </c>
      <c r="T5" s="2" t="s">
        <v>175</v>
      </c>
      <c r="U5" s="2" t="s">
        <v>176</v>
      </c>
    </row>
    <row r="6" spans="1:19" s="35" customFormat="1" ht="15.75">
      <c r="A6" s="35" t="s">
        <v>0</v>
      </c>
      <c r="B6" s="35" t="s">
        <v>19</v>
      </c>
      <c r="C6" s="202">
        <v>433</v>
      </c>
      <c r="D6" s="252">
        <v>442</v>
      </c>
      <c r="E6" s="252">
        <v>455</v>
      </c>
      <c r="F6" s="39"/>
      <c r="G6" s="252">
        <v>433</v>
      </c>
      <c r="H6" s="39"/>
      <c r="I6" s="39"/>
      <c r="J6" s="39"/>
      <c r="K6" s="39"/>
      <c r="L6" s="39">
        <v>390</v>
      </c>
      <c r="M6" s="119">
        <v>418</v>
      </c>
      <c r="N6" s="178">
        <f>SUM(C6:M6)</f>
        <v>2571</v>
      </c>
      <c r="O6" s="35">
        <v>6</v>
      </c>
      <c r="P6" s="35">
        <v>2</v>
      </c>
      <c r="Q6" s="178">
        <f>N6-2545</f>
        <v>26</v>
      </c>
      <c r="R6" s="35">
        <v>2</v>
      </c>
      <c r="S6" s="35">
        <v>1</v>
      </c>
    </row>
    <row r="7" spans="1:19" s="102" customFormat="1" ht="15.75">
      <c r="A7" s="102" t="s">
        <v>1</v>
      </c>
      <c r="B7" s="102" t="s">
        <v>15</v>
      </c>
      <c r="C7" s="250">
        <v>436</v>
      </c>
      <c r="D7" s="36">
        <v>425</v>
      </c>
      <c r="E7" s="261">
        <v>459</v>
      </c>
      <c r="F7" s="36"/>
      <c r="G7" s="261">
        <v>433</v>
      </c>
      <c r="H7" s="36"/>
      <c r="I7" s="36"/>
      <c r="J7" s="261">
        <v>440</v>
      </c>
      <c r="K7" s="36"/>
      <c r="L7" s="36">
        <v>412</v>
      </c>
      <c r="M7" s="30"/>
      <c r="N7" s="168">
        <f>SUM(C7:M7)</f>
        <v>2605</v>
      </c>
      <c r="O7" s="102">
        <v>6</v>
      </c>
      <c r="P7" s="102">
        <v>2</v>
      </c>
      <c r="Q7" s="168">
        <v>35</v>
      </c>
      <c r="R7" s="102">
        <v>2</v>
      </c>
      <c r="S7" s="102">
        <v>1</v>
      </c>
    </row>
    <row r="8" spans="1:19" s="102" customFormat="1" ht="15.75">
      <c r="A8" s="102" t="s">
        <v>2</v>
      </c>
      <c r="B8" s="102" t="s">
        <v>18</v>
      </c>
      <c r="C8" s="34">
        <v>402</v>
      </c>
      <c r="D8" s="36">
        <v>412</v>
      </c>
      <c r="E8" s="261">
        <v>447</v>
      </c>
      <c r="F8" s="36"/>
      <c r="G8" s="261">
        <v>427</v>
      </c>
      <c r="H8" s="36"/>
      <c r="I8" s="36"/>
      <c r="J8" s="261">
        <v>435</v>
      </c>
      <c r="K8" s="36"/>
      <c r="L8" s="261">
        <v>423</v>
      </c>
      <c r="M8" s="30"/>
      <c r="N8" s="168">
        <f>SUM(C8:M8)</f>
        <v>2546</v>
      </c>
      <c r="O8" s="102">
        <v>6</v>
      </c>
      <c r="P8" s="102">
        <v>2</v>
      </c>
      <c r="Q8" s="168">
        <v>26</v>
      </c>
      <c r="R8" s="102">
        <v>2</v>
      </c>
      <c r="S8" s="102">
        <v>1</v>
      </c>
    </row>
    <row r="9" spans="1:21" s="35" customFormat="1" ht="15.75">
      <c r="A9" s="35" t="s">
        <v>3</v>
      </c>
      <c r="B9" s="35" t="s">
        <v>21</v>
      </c>
      <c r="C9" s="35">
        <v>192</v>
      </c>
      <c r="D9" s="252">
        <v>424</v>
      </c>
      <c r="E9" s="252">
        <v>442</v>
      </c>
      <c r="F9" s="39"/>
      <c r="G9" s="39">
        <v>402</v>
      </c>
      <c r="H9" s="39"/>
      <c r="I9" s="39"/>
      <c r="J9" s="39">
        <v>404</v>
      </c>
      <c r="K9" s="39">
        <v>178</v>
      </c>
      <c r="L9" s="39">
        <v>395</v>
      </c>
      <c r="M9" s="33"/>
      <c r="N9" s="178">
        <f>SUM(C9:M9)</f>
        <v>2437</v>
      </c>
      <c r="O9" s="35">
        <v>2</v>
      </c>
      <c r="P9" s="35">
        <v>6</v>
      </c>
      <c r="Q9" s="178">
        <v>-55</v>
      </c>
      <c r="R9" s="35">
        <v>0</v>
      </c>
      <c r="U9" s="35">
        <v>1</v>
      </c>
    </row>
    <row r="10" spans="1:19" s="102" customFormat="1" ht="15.75">
      <c r="A10" s="102" t="s">
        <v>4</v>
      </c>
      <c r="B10" s="102" t="s">
        <v>17</v>
      </c>
      <c r="C10" s="250">
        <v>446</v>
      </c>
      <c r="D10" s="261">
        <v>436</v>
      </c>
      <c r="E10" s="261">
        <v>502</v>
      </c>
      <c r="F10" s="36"/>
      <c r="G10" s="36">
        <v>401</v>
      </c>
      <c r="H10" s="261">
        <v>470</v>
      </c>
      <c r="I10" s="36">
        <v>418</v>
      </c>
      <c r="J10" s="36"/>
      <c r="K10" s="36"/>
      <c r="L10" s="36"/>
      <c r="M10" s="30"/>
      <c r="N10" s="168">
        <f>SUM(C10:M10)</f>
        <v>2673</v>
      </c>
      <c r="O10" s="102">
        <v>6</v>
      </c>
      <c r="P10" s="102">
        <v>2</v>
      </c>
      <c r="Q10" s="168">
        <v>103</v>
      </c>
      <c r="R10" s="102">
        <v>2</v>
      </c>
      <c r="S10" s="102">
        <v>1</v>
      </c>
    </row>
    <row r="11" spans="1:19" s="35" customFormat="1" ht="15.75">
      <c r="A11" s="35" t="s">
        <v>5</v>
      </c>
      <c r="B11" s="35" t="s">
        <v>20</v>
      </c>
      <c r="C11" s="202">
        <v>459</v>
      </c>
      <c r="D11" s="39">
        <v>423</v>
      </c>
      <c r="E11" s="252">
        <v>473</v>
      </c>
      <c r="F11" s="39"/>
      <c r="G11" s="252">
        <v>449</v>
      </c>
      <c r="H11" s="39"/>
      <c r="I11" s="39">
        <v>443</v>
      </c>
      <c r="J11" s="39"/>
      <c r="K11" s="39"/>
      <c r="L11" s="39">
        <v>385</v>
      </c>
      <c r="M11" s="33"/>
      <c r="N11" s="178">
        <f>SUM(B11:M11)</f>
        <v>2632</v>
      </c>
      <c r="O11" s="35">
        <v>5</v>
      </c>
      <c r="P11" s="35">
        <v>3</v>
      </c>
      <c r="Q11" s="178">
        <v>33</v>
      </c>
      <c r="R11" s="35">
        <v>2</v>
      </c>
      <c r="S11" s="35">
        <v>1</v>
      </c>
    </row>
    <row r="12" spans="1:19" s="102" customFormat="1" ht="15.75">
      <c r="A12" s="102" t="s">
        <v>6</v>
      </c>
      <c r="B12" s="102" t="s">
        <v>193</v>
      </c>
      <c r="C12" s="250">
        <v>443</v>
      </c>
      <c r="D12" s="250">
        <v>467</v>
      </c>
      <c r="E12" s="250">
        <v>452</v>
      </c>
      <c r="F12" s="34"/>
      <c r="G12" s="34">
        <v>426</v>
      </c>
      <c r="H12" s="250">
        <v>443</v>
      </c>
      <c r="I12" s="250">
        <v>434</v>
      </c>
      <c r="J12" s="34"/>
      <c r="K12" s="34"/>
      <c r="L12" s="34"/>
      <c r="M12" s="30"/>
      <c r="N12" s="179">
        <f>SUM(B12:M12)</f>
        <v>2665</v>
      </c>
      <c r="O12" s="102">
        <v>7</v>
      </c>
      <c r="P12" s="102">
        <v>1</v>
      </c>
      <c r="Q12" s="102">
        <v>176</v>
      </c>
      <c r="R12" s="102">
        <v>2</v>
      </c>
      <c r="S12" s="102">
        <v>1</v>
      </c>
    </row>
    <row r="13" spans="1:21" s="35" customFormat="1" ht="15.75">
      <c r="A13" s="35" t="s">
        <v>7</v>
      </c>
      <c r="B13" s="35" t="s">
        <v>22</v>
      </c>
      <c r="C13" s="202">
        <v>438</v>
      </c>
      <c r="D13" s="39">
        <v>394</v>
      </c>
      <c r="E13" s="39">
        <v>436</v>
      </c>
      <c r="F13" s="39">
        <v>414</v>
      </c>
      <c r="G13" s="39"/>
      <c r="H13" s="252">
        <v>474</v>
      </c>
      <c r="I13" s="39"/>
      <c r="J13" s="39"/>
      <c r="K13" s="39"/>
      <c r="L13" s="39"/>
      <c r="M13" s="326">
        <v>449</v>
      </c>
      <c r="N13" s="178">
        <f aca="true" t="shared" si="0" ref="N13:N22">SUM(C13:M13)</f>
        <v>2605</v>
      </c>
      <c r="O13" s="35">
        <v>3</v>
      </c>
      <c r="P13" s="35">
        <v>5</v>
      </c>
      <c r="Q13" s="178">
        <v>-69</v>
      </c>
      <c r="R13" s="35">
        <v>0</v>
      </c>
      <c r="U13" s="35">
        <v>1</v>
      </c>
    </row>
    <row r="14" spans="1:19" s="102" customFormat="1" ht="15.75">
      <c r="A14" s="102" t="s">
        <v>8</v>
      </c>
      <c r="B14" s="102" t="s">
        <v>241</v>
      </c>
      <c r="C14" s="34"/>
      <c r="D14" s="34"/>
      <c r="E14" s="250">
        <v>455</v>
      </c>
      <c r="F14" s="34"/>
      <c r="G14" s="250">
        <v>467</v>
      </c>
      <c r="H14" s="250">
        <v>477</v>
      </c>
      <c r="I14" s="34">
        <v>415</v>
      </c>
      <c r="J14" s="34">
        <v>429</v>
      </c>
      <c r="K14" s="34"/>
      <c r="L14" s="34"/>
      <c r="M14" s="275">
        <v>448</v>
      </c>
      <c r="N14" s="168">
        <f t="shared" si="0"/>
        <v>2691</v>
      </c>
      <c r="O14" s="102">
        <v>6</v>
      </c>
      <c r="P14" s="102">
        <v>2</v>
      </c>
      <c r="Q14" s="168">
        <v>50</v>
      </c>
      <c r="R14" s="102">
        <v>2</v>
      </c>
      <c r="S14" s="102">
        <v>1</v>
      </c>
    </row>
    <row r="15" spans="1:19" s="35" customFormat="1" ht="15.75">
      <c r="A15" s="35" t="s">
        <v>9</v>
      </c>
      <c r="B15" s="35" t="s">
        <v>195</v>
      </c>
      <c r="C15" s="35">
        <v>418</v>
      </c>
      <c r="D15" s="39"/>
      <c r="E15" s="252">
        <v>458</v>
      </c>
      <c r="F15" s="39"/>
      <c r="G15" s="39">
        <v>419</v>
      </c>
      <c r="H15" s="252">
        <v>427</v>
      </c>
      <c r="I15" s="39"/>
      <c r="J15" s="252">
        <v>459</v>
      </c>
      <c r="K15" s="39"/>
      <c r="L15" s="39"/>
      <c r="M15" s="33">
        <v>394</v>
      </c>
      <c r="N15" s="178">
        <f t="shared" si="0"/>
        <v>2575</v>
      </c>
      <c r="O15" s="35">
        <v>5</v>
      </c>
      <c r="P15" s="35">
        <v>3</v>
      </c>
      <c r="Q15" s="178">
        <v>20</v>
      </c>
      <c r="R15" s="35">
        <v>2</v>
      </c>
      <c r="S15" s="35">
        <v>1</v>
      </c>
    </row>
    <row r="16" spans="1:21" s="146" customFormat="1" ht="15.75">
      <c r="A16" s="146" t="s">
        <v>10</v>
      </c>
      <c r="B16" s="146" t="s">
        <v>234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  <c r="N16" s="175" t="s">
        <v>234</v>
      </c>
      <c r="O16" s="176"/>
      <c r="P16" s="176"/>
      <c r="Q16" s="177"/>
      <c r="R16" s="176"/>
      <c r="S16" s="176"/>
      <c r="T16" s="176"/>
      <c r="U16" s="176"/>
    </row>
    <row r="17" spans="1:20" s="35" customFormat="1" ht="15.75">
      <c r="A17" s="35" t="s">
        <v>11</v>
      </c>
      <c r="B17" s="35" t="s">
        <v>196</v>
      </c>
      <c r="D17" s="39"/>
      <c r="E17" s="252">
        <v>445</v>
      </c>
      <c r="F17" s="39"/>
      <c r="G17" s="39">
        <v>392</v>
      </c>
      <c r="H17" s="39"/>
      <c r="I17" s="39">
        <v>392</v>
      </c>
      <c r="J17" s="252">
        <v>408</v>
      </c>
      <c r="K17" s="39"/>
      <c r="L17" s="39">
        <v>352</v>
      </c>
      <c r="M17" s="326">
        <v>407</v>
      </c>
      <c r="N17" s="178">
        <f t="shared" si="0"/>
        <v>2396</v>
      </c>
      <c r="O17" s="35">
        <v>4</v>
      </c>
      <c r="P17" s="35">
        <v>4</v>
      </c>
      <c r="Q17" s="178">
        <v>0</v>
      </c>
      <c r="R17" s="35">
        <v>1</v>
      </c>
      <c r="T17" s="35">
        <v>1</v>
      </c>
    </row>
    <row r="18" spans="1:19" s="102" customFormat="1" ht="15.75">
      <c r="A18" s="102" t="s">
        <v>12</v>
      </c>
      <c r="B18" s="102" t="s">
        <v>242</v>
      </c>
      <c r="C18" s="34"/>
      <c r="D18" s="36">
        <v>176</v>
      </c>
      <c r="E18" s="261">
        <v>473</v>
      </c>
      <c r="F18" s="36"/>
      <c r="G18" s="261">
        <v>431</v>
      </c>
      <c r="H18" s="36">
        <v>428</v>
      </c>
      <c r="I18" s="36">
        <v>233</v>
      </c>
      <c r="J18" s="36">
        <v>428</v>
      </c>
      <c r="K18" s="36"/>
      <c r="L18" s="36"/>
      <c r="M18" s="275">
        <v>434</v>
      </c>
      <c r="N18" s="168">
        <f t="shared" si="0"/>
        <v>2603</v>
      </c>
      <c r="O18" s="102">
        <v>5</v>
      </c>
      <c r="P18" s="102">
        <v>3</v>
      </c>
      <c r="Q18" s="168">
        <v>41</v>
      </c>
      <c r="R18" s="102">
        <v>2</v>
      </c>
      <c r="S18" s="102">
        <v>1</v>
      </c>
    </row>
    <row r="19" spans="1:19" s="35" customFormat="1" ht="15.75">
      <c r="A19" s="35" t="s">
        <v>13</v>
      </c>
      <c r="B19" s="35" t="s">
        <v>192</v>
      </c>
      <c r="C19" s="202">
        <v>480</v>
      </c>
      <c r="D19" s="39">
        <v>402</v>
      </c>
      <c r="E19" s="252">
        <v>475</v>
      </c>
      <c r="F19" s="39"/>
      <c r="G19" s="39">
        <v>423</v>
      </c>
      <c r="H19" s="252">
        <v>463</v>
      </c>
      <c r="I19" s="39"/>
      <c r="J19" s="39">
        <v>439</v>
      </c>
      <c r="K19" s="39"/>
      <c r="L19" s="39"/>
      <c r="M19" s="33"/>
      <c r="N19" s="178">
        <f t="shared" si="0"/>
        <v>2682</v>
      </c>
      <c r="O19" s="35">
        <v>5</v>
      </c>
      <c r="P19" s="35">
        <v>3</v>
      </c>
      <c r="Q19" s="178">
        <v>98</v>
      </c>
      <c r="R19" s="35">
        <v>2</v>
      </c>
      <c r="S19" s="35">
        <v>1</v>
      </c>
    </row>
    <row r="20" spans="1:19" s="102" customFormat="1" ht="15.75">
      <c r="A20" s="102" t="s">
        <v>14</v>
      </c>
      <c r="B20" s="102" t="s">
        <v>194</v>
      </c>
      <c r="C20" s="34">
        <v>176</v>
      </c>
      <c r="D20" s="36"/>
      <c r="E20" s="36">
        <v>422</v>
      </c>
      <c r="F20" s="36"/>
      <c r="G20" s="261">
        <v>467</v>
      </c>
      <c r="H20" s="36">
        <v>416</v>
      </c>
      <c r="I20" s="36">
        <v>217</v>
      </c>
      <c r="J20" s="261">
        <v>445</v>
      </c>
      <c r="K20" s="36"/>
      <c r="L20" s="36"/>
      <c r="M20" s="275">
        <v>444</v>
      </c>
      <c r="N20" s="168">
        <f t="shared" si="0"/>
        <v>2587</v>
      </c>
      <c r="O20" s="102">
        <v>5</v>
      </c>
      <c r="P20" s="102">
        <v>3</v>
      </c>
      <c r="Q20" s="168">
        <v>4</v>
      </c>
      <c r="R20" s="102">
        <v>2</v>
      </c>
      <c r="S20" s="102">
        <v>1</v>
      </c>
    </row>
    <row r="21" spans="1:19" s="35" customFormat="1" ht="15.75">
      <c r="A21" s="35" t="s">
        <v>239</v>
      </c>
      <c r="B21" s="35" t="s">
        <v>272</v>
      </c>
      <c r="C21" s="202">
        <v>466</v>
      </c>
      <c r="D21" s="39">
        <v>423</v>
      </c>
      <c r="E21" s="252">
        <v>482</v>
      </c>
      <c r="F21" s="39"/>
      <c r="G21" s="39"/>
      <c r="H21" s="252">
        <v>444</v>
      </c>
      <c r="I21" s="252">
        <v>442</v>
      </c>
      <c r="J21" s="39">
        <v>427</v>
      </c>
      <c r="K21" s="39"/>
      <c r="L21" s="39"/>
      <c r="M21" s="33"/>
      <c r="N21" s="178">
        <f t="shared" si="0"/>
        <v>2684</v>
      </c>
      <c r="O21" s="35">
        <v>6</v>
      </c>
      <c r="P21" s="35">
        <v>2</v>
      </c>
      <c r="Q21" s="178">
        <v>123</v>
      </c>
      <c r="R21" s="35">
        <v>2</v>
      </c>
      <c r="S21" s="35">
        <v>1</v>
      </c>
    </row>
    <row r="22" spans="1:21" s="102" customFormat="1" ht="16.5" thickBot="1">
      <c r="A22" s="102" t="s">
        <v>240</v>
      </c>
      <c r="B22" s="36" t="s">
        <v>238</v>
      </c>
      <c r="C22" s="150">
        <v>387</v>
      </c>
      <c r="D22" s="354">
        <v>441</v>
      </c>
      <c r="E22" s="354">
        <v>463</v>
      </c>
      <c r="F22" s="150"/>
      <c r="G22" s="150">
        <v>424</v>
      </c>
      <c r="H22" s="150"/>
      <c r="I22" s="150"/>
      <c r="J22" s="150"/>
      <c r="K22" s="150"/>
      <c r="L22" s="354">
        <v>431</v>
      </c>
      <c r="M22" s="355">
        <v>452</v>
      </c>
      <c r="N22" s="170">
        <f t="shared" si="0"/>
        <v>2598</v>
      </c>
      <c r="O22" s="171">
        <v>6</v>
      </c>
      <c r="P22" s="171">
        <v>2</v>
      </c>
      <c r="Q22" s="171">
        <v>86</v>
      </c>
      <c r="R22" s="171">
        <v>2</v>
      </c>
      <c r="S22" s="171">
        <v>1</v>
      </c>
      <c r="T22" s="171"/>
      <c r="U22" s="171"/>
    </row>
    <row r="23" spans="2:21" ht="16.5" thickTop="1">
      <c r="B23" s="38"/>
      <c r="C23" s="6">
        <f>SUM(C10:C19)+SUM(C6:C8)+SUM(C21:C22)</f>
        <v>4808</v>
      </c>
      <c r="D23" s="6">
        <f>SUM(D6:D17)+SUM(D19:D22)</f>
        <v>4689</v>
      </c>
      <c r="E23" s="6">
        <f>SUM(E6:E15)+SUM(E16:E22)</f>
        <v>7339</v>
      </c>
      <c r="F23" s="6">
        <f aca="true" t="shared" si="1" ref="F23:L23">SUM(F6:F22)</f>
        <v>414</v>
      </c>
      <c r="G23" s="6">
        <f>SUM(G6:G15)+SUM(G16:G22)</f>
        <v>5994</v>
      </c>
      <c r="H23" s="6">
        <f t="shared" si="1"/>
        <v>4042</v>
      </c>
      <c r="I23" s="6">
        <f>SUM(I10:I17)+SUM(I6:I8)+SUM(I21:I22)</f>
        <v>2544</v>
      </c>
      <c r="J23" s="6">
        <f t="shared" si="1"/>
        <v>4314</v>
      </c>
      <c r="K23" s="6">
        <f>SUM(K10:K22)</f>
        <v>0</v>
      </c>
      <c r="L23" s="6">
        <f t="shared" si="1"/>
        <v>2788</v>
      </c>
      <c r="M23" s="6">
        <f>SUM(M6:M15)+SUM(M16:M22)</f>
        <v>3446</v>
      </c>
      <c r="S23" s="2">
        <f>SUM(S6:S22)</f>
        <v>13</v>
      </c>
      <c r="T23" s="2">
        <f>SUM(T6:T22)</f>
        <v>1</v>
      </c>
      <c r="U23" s="2">
        <f>SUM(U6:U22)</f>
        <v>2</v>
      </c>
    </row>
    <row r="24" spans="2:13" ht="15.75">
      <c r="B24" s="1" t="s">
        <v>210</v>
      </c>
      <c r="C24" s="6">
        <f>COUNT(C10:C19)+COUNT(C6:C8)+COUNT(C21:C22)</f>
        <v>11</v>
      </c>
      <c r="D24" s="6">
        <f>COUNT(D6:D17)+COUNT(D19:D22)</f>
        <v>11</v>
      </c>
      <c r="E24" s="6">
        <f>COUNT(E6:E15)+COUNT(E16:E22)</f>
        <v>16</v>
      </c>
      <c r="F24" s="6">
        <f>COUNT(F6:F22)</f>
        <v>1</v>
      </c>
      <c r="G24" s="6">
        <f>COUNT(G6:G15)+COUNT(G16:G22)</f>
        <v>14</v>
      </c>
      <c r="H24" s="6">
        <f>COUNT(H6:H22)</f>
        <v>9</v>
      </c>
      <c r="I24" s="6">
        <f>COUNT(I10:I17)+COUNT(I6:I8)+COUNT(I21:I22)</f>
        <v>6</v>
      </c>
      <c r="J24" s="6">
        <f>COUNT(J6:J22)</f>
        <v>10</v>
      </c>
      <c r="K24" s="6">
        <f>COUNT(K10:K22)</f>
        <v>0</v>
      </c>
      <c r="L24" s="6">
        <f>COUNT(L6:L22)</f>
        <v>7</v>
      </c>
      <c r="M24" s="6">
        <f>COUNT(M6:M15)+COUNT(M16:M22)</f>
        <v>8</v>
      </c>
    </row>
    <row r="25" spans="2:21" ht="33" customHeight="1">
      <c r="B25" s="11" t="s">
        <v>119</v>
      </c>
      <c r="C25" s="16">
        <f>C23/C24</f>
        <v>437.09090909090907</v>
      </c>
      <c r="D25" s="16">
        <f>D23/D24</f>
        <v>426.27272727272725</v>
      </c>
      <c r="E25" s="16">
        <f aca="true" t="shared" si="2" ref="E25:J25">E23/E24</f>
        <v>458.6875</v>
      </c>
      <c r="F25" s="16">
        <f t="shared" si="2"/>
        <v>414</v>
      </c>
      <c r="G25" s="16">
        <f t="shared" si="2"/>
        <v>428.14285714285717</v>
      </c>
      <c r="H25" s="16">
        <f t="shared" si="2"/>
        <v>449.1111111111111</v>
      </c>
      <c r="I25" s="16">
        <f t="shared" si="2"/>
        <v>424</v>
      </c>
      <c r="J25" s="16">
        <f t="shared" si="2"/>
        <v>431.4</v>
      </c>
      <c r="K25" s="16"/>
      <c r="L25" s="16">
        <f>L23/L24</f>
        <v>398.2857142857143</v>
      </c>
      <c r="M25" s="16">
        <f>M23/M24</f>
        <v>430.75</v>
      </c>
      <c r="N25" s="3" t="s">
        <v>29</v>
      </c>
      <c r="O25" s="461" t="s">
        <v>109</v>
      </c>
      <c r="P25" s="461"/>
      <c r="Q25" s="3" t="s">
        <v>30</v>
      </c>
      <c r="R25" s="10" t="s">
        <v>110</v>
      </c>
      <c r="T25" s="13" t="s">
        <v>118</v>
      </c>
      <c r="U25" s="63" t="s">
        <v>209</v>
      </c>
    </row>
    <row r="26" spans="14:21" ht="15.75">
      <c r="N26" s="6">
        <f>SUM(N6:N22)</f>
        <v>41550</v>
      </c>
      <c r="O26" s="6">
        <f>SUM(O6:O22)</f>
        <v>83</v>
      </c>
      <c r="P26" s="6">
        <f>SUM(P6:P22)</f>
        <v>45</v>
      </c>
      <c r="Q26" s="6">
        <f>SUM(Q6:Q22)</f>
        <v>697</v>
      </c>
      <c r="R26" s="6">
        <f>SUM(R6:R22)</f>
        <v>27</v>
      </c>
      <c r="T26" s="2">
        <f>O26-P26</f>
        <v>38</v>
      </c>
      <c r="U26" s="2">
        <f>SUM(S23:U23)</f>
        <v>16</v>
      </c>
    </row>
    <row r="27" spans="3:10" ht="15.75">
      <c r="C27" s="463" t="s">
        <v>37</v>
      </c>
      <c r="D27" s="463"/>
      <c r="F27" s="458" t="s">
        <v>124</v>
      </c>
      <c r="G27" s="458"/>
      <c r="H27" s="458"/>
      <c r="I27" s="462" t="s">
        <v>125</v>
      </c>
      <c r="J27" s="462"/>
    </row>
    <row r="28" spans="1:21" ht="16.5" thickBo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121"/>
      <c r="T28" s="121"/>
      <c r="U28" s="121"/>
    </row>
    <row r="29" spans="1:7" ht="15.75">
      <c r="A29" s="42"/>
      <c r="C29" s="40"/>
      <c r="D29" s="40"/>
      <c r="E29" s="41"/>
      <c r="F29" s="40"/>
      <c r="G29" s="40"/>
    </row>
    <row r="30" spans="2:21" ht="32.25" thickBot="1">
      <c r="B30" s="3" t="s">
        <v>24</v>
      </c>
      <c r="C30" s="8" t="s">
        <v>38</v>
      </c>
      <c r="D30" s="8" t="s">
        <v>39</v>
      </c>
      <c r="E30" s="180" t="s">
        <v>287</v>
      </c>
      <c r="F30" s="8" t="s">
        <v>41</v>
      </c>
      <c r="G30" s="8" t="s">
        <v>50</v>
      </c>
      <c r="H30" s="8" t="s">
        <v>42</v>
      </c>
      <c r="I30" s="8" t="s">
        <v>43</v>
      </c>
      <c r="J30" s="8" t="s">
        <v>104</v>
      </c>
      <c r="K30" s="8" t="s">
        <v>262</v>
      </c>
      <c r="L30" s="8" t="s">
        <v>117</v>
      </c>
      <c r="M30" s="8" t="s">
        <v>288</v>
      </c>
      <c r="N30" s="3" t="s">
        <v>29</v>
      </c>
      <c r="O30" s="3" t="s">
        <v>25</v>
      </c>
      <c r="P30" s="3" t="s">
        <v>28</v>
      </c>
      <c r="Q30" s="3" t="s">
        <v>30</v>
      </c>
      <c r="R30" s="10" t="s">
        <v>108</v>
      </c>
      <c r="S30" s="2" t="s">
        <v>174</v>
      </c>
      <c r="T30" s="2" t="s">
        <v>175</v>
      </c>
      <c r="U30" s="2" t="s">
        <v>176</v>
      </c>
    </row>
    <row r="31" spans="1:21" s="231" customFormat="1" ht="15.75">
      <c r="A31" s="25" t="s">
        <v>145</v>
      </c>
      <c r="B31" s="47" t="s">
        <v>241</v>
      </c>
      <c r="C31" s="47"/>
      <c r="D31" s="35">
        <v>388</v>
      </c>
      <c r="E31" s="202">
        <v>445</v>
      </c>
      <c r="F31" s="202">
        <v>466</v>
      </c>
      <c r="G31" s="35">
        <v>420</v>
      </c>
      <c r="H31" s="35"/>
      <c r="I31" s="35"/>
      <c r="J31" s="202">
        <v>420</v>
      </c>
      <c r="K31" s="35"/>
      <c r="L31" s="35"/>
      <c r="M31" s="202">
        <v>446</v>
      </c>
      <c r="N31" s="200">
        <f aca="true" t="shared" si="3" ref="N31:N47">SUM(C31:M31)</f>
        <v>2585</v>
      </c>
      <c r="O31" s="193">
        <v>6</v>
      </c>
      <c r="P31" s="193">
        <v>2</v>
      </c>
      <c r="Q31" s="193">
        <v>55</v>
      </c>
      <c r="R31" s="193">
        <v>2</v>
      </c>
      <c r="S31" s="230">
        <v>1</v>
      </c>
      <c r="T31" s="230"/>
      <c r="U31" s="230"/>
    </row>
    <row r="32" spans="1:21" s="23" customFormat="1" ht="15.75">
      <c r="A32" s="204" t="s">
        <v>146</v>
      </c>
      <c r="B32" s="205" t="s">
        <v>195</v>
      </c>
      <c r="C32" s="102"/>
      <c r="D32" s="34"/>
      <c r="E32" s="34">
        <v>411</v>
      </c>
      <c r="F32" s="250">
        <v>432</v>
      </c>
      <c r="G32" s="34">
        <v>426</v>
      </c>
      <c r="H32" s="34"/>
      <c r="I32" s="34">
        <v>418</v>
      </c>
      <c r="J32" s="250">
        <v>475</v>
      </c>
      <c r="K32" s="34"/>
      <c r="L32" s="34"/>
      <c r="M32" s="250">
        <v>433</v>
      </c>
      <c r="N32" s="58">
        <f t="shared" si="3"/>
        <v>2595</v>
      </c>
      <c r="O32" s="19">
        <v>3</v>
      </c>
      <c r="P32" s="19">
        <v>5</v>
      </c>
      <c r="Q32" s="19">
        <v>-24</v>
      </c>
      <c r="R32" s="19">
        <v>0</v>
      </c>
      <c r="S32" s="22"/>
      <c r="T32" s="22"/>
      <c r="U32" s="22">
        <v>1</v>
      </c>
    </row>
    <row r="33" spans="1:21" s="223" customFormat="1" ht="15.75">
      <c r="A33" s="145" t="s">
        <v>147</v>
      </c>
      <c r="B33" s="146" t="s">
        <v>234</v>
      </c>
      <c r="C33" s="176"/>
      <c r="D33" s="173"/>
      <c r="E33" s="173"/>
      <c r="F33" s="173"/>
      <c r="G33" s="173"/>
      <c r="H33" s="173"/>
      <c r="I33" s="173"/>
      <c r="J33" s="173"/>
      <c r="K33" s="173"/>
      <c r="L33" s="173"/>
      <c r="M33" s="174"/>
      <c r="N33" s="377" t="s">
        <v>234</v>
      </c>
      <c r="O33" s="378"/>
      <c r="P33" s="378"/>
      <c r="Q33" s="378"/>
      <c r="R33" s="378"/>
      <c r="S33" s="379"/>
      <c r="T33" s="379"/>
      <c r="U33" s="379"/>
    </row>
    <row r="34" spans="1:21" s="106" customFormat="1" ht="15.75">
      <c r="A34" s="19" t="s">
        <v>148</v>
      </c>
      <c r="B34" s="34" t="s">
        <v>196</v>
      </c>
      <c r="C34" s="102"/>
      <c r="D34" s="34"/>
      <c r="E34" s="250">
        <v>462</v>
      </c>
      <c r="F34" s="34">
        <v>414</v>
      </c>
      <c r="G34" s="250">
        <v>422</v>
      </c>
      <c r="H34" s="34"/>
      <c r="I34" s="34"/>
      <c r="J34" s="34">
        <v>416</v>
      </c>
      <c r="K34" s="34"/>
      <c r="L34" s="34">
        <v>402</v>
      </c>
      <c r="M34" s="250">
        <v>450</v>
      </c>
      <c r="N34" s="105">
        <f t="shared" si="3"/>
        <v>2566</v>
      </c>
      <c r="O34" s="103">
        <v>3</v>
      </c>
      <c r="P34" s="103">
        <v>5</v>
      </c>
      <c r="Q34" s="103">
        <v>-19</v>
      </c>
      <c r="R34" s="103">
        <v>0</v>
      </c>
      <c r="S34" s="114"/>
      <c r="T34" s="114"/>
      <c r="U34" s="114">
        <v>1</v>
      </c>
    </row>
    <row r="35" spans="1:21" s="231" customFormat="1" ht="15.75">
      <c r="A35" s="25" t="s">
        <v>149</v>
      </c>
      <c r="B35" s="47" t="s">
        <v>242</v>
      </c>
      <c r="C35" s="202">
        <v>459</v>
      </c>
      <c r="D35" s="35">
        <v>424</v>
      </c>
      <c r="E35" s="202">
        <v>475</v>
      </c>
      <c r="F35" s="35">
        <v>389</v>
      </c>
      <c r="G35" s="35"/>
      <c r="H35" s="35"/>
      <c r="I35" s="35"/>
      <c r="J35" s="202">
        <v>453</v>
      </c>
      <c r="K35" s="35"/>
      <c r="L35" s="35"/>
      <c r="M35" s="202">
        <v>435</v>
      </c>
      <c r="N35" s="200">
        <f t="shared" si="3"/>
        <v>2635</v>
      </c>
      <c r="O35" s="193">
        <v>6</v>
      </c>
      <c r="P35" s="193">
        <v>2</v>
      </c>
      <c r="Q35" s="193">
        <f>N35-2558</f>
        <v>77</v>
      </c>
      <c r="R35" s="193">
        <v>2</v>
      </c>
      <c r="S35" s="230">
        <v>1</v>
      </c>
      <c r="T35" s="230"/>
      <c r="U35" s="230"/>
    </row>
    <row r="36" spans="1:21" s="211" customFormat="1" ht="15.75">
      <c r="A36" s="83" t="s">
        <v>150</v>
      </c>
      <c r="B36" s="95" t="s">
        <v>192</v>
      </c>
      <c r="C36" s="102"/>
      <c r="D36" s="34">
        <v>419</v>
      </c>
      <c r="E36" s="250">
        <v>461</v>
      </c>
      <c r="F36" s="34"/>
      <c r="G36" s="250">
        <v>429</v>
      </c>
      <c r="H36" s="34"/>
      <c r="I36" s="34"/>
      <c r="J36" s="250">
        <v>468</v>
      </c>
      <c r="K36" s="34"/>
      <c r="L36" s="34">
        <v>392</v>
      </c>
      <c r="M36" s="250">
        <v>424</v>
      </c>
      <c r="N36" s="366">
        <f t="shared" si="3"/>
        <v>2593</v>
      </c>
      <c r="O36" s="204">
        <v>6</v>
      </c>
      <c r="P36" s="204">
        <v>2</v>
      </c>
      <c r="Q36" s="204">
        <v>114</v>
      </c>
      <c r="R36" s="204">
        <v>2</v>
      </c>
      <c r="S36" s="210">
        <v>1</v>
      </c>
      <c r="T36" s="210"/>
      <c r="U36" s="210"/>
    </row>
    <row r="37" spans="1:21" s="231" customFormat="1" ht="15.75">
      <c r="A37" s="25" t="s">
        <v>151</v>
      </c>
      <c r="B37" s="47" t="s">
        <v>194</v>
      </c>
      <c r="C37" s="47">
        <v>421</v>
      </c>
      <c r="D37" s="35">
        <v>423</v>
      </c>
      <c r="E37" s="202">
        <v>455</v>
      </c>
      <c r="F37" s="35"/>
      <c r="G37" s="35">
        <v>408</v>
      </c>
      <c r="H37" s="35"/>
      <c r="I37" s="35"/>
      <c r="J37" s="202">
        <v>460</v>
      </c>
      <c r="K37" s="35"/>
      <c r="L37" s="35"/>
      <c r="M37" s="35">
        <v>432</v>
      </c>
      <c r="N37" s="200">
        <f t="shared" si="3"/>
        <v>2599</v>
      </c>
      <c r="O37" s="193">
        <v>2</v>
      </c>
      <c r="P37" s="193">
        <v>6</v>
      </c>
      <c r="Q37" s="193">
        <v>-136</v>
      </c>
      <c r="R37" s="193">
        <v>0</v>
      </c>
      <c r="S37" s="230"/>
      <c r="T37" s="230"/>
      <c r="U37" s="230">
        <v>1</v>
      </c>
    </row>
    <row r="38" spans="1:21" s="23" customFormat="1" ht="15.75">
      <c r="A38" s="204" t="s">
        <v>152</v>
      </c>
      <c r="B38" s="205" t="s">
        <v>272</v>
      </c>
      <c r="C38" s="102"/>
      <c r="D38" s="250">
        <v>451</v>
      </c>
      <c r="E38" s="34"/>
      <c r="F38" s="250">
        <v>443</v>
      </c>
      <c r="G38" s="250">
        <v>451</v>
      </c>
      <c r="H38" s="34"/>
      <c r="I38" s="34"/>
      <c r="J38" s="250">
        <v>445</v>
      </c>
      <c r="K38" s="34"/>
      <c r="L38" s="34">
        <v>373</v>
      </c>
      <c r="M38" s="250">
        <v>440</v>
      </c>
      <c r="N38" s="58">
        <f t="shared" si="3"/>
        <v>2603</v>
      </c>
      <c r="O38" s="19">
        <v>7</v>
      </c>
      <c r="P38" s="19">
        <v>1</v>
      </c>
      <c r="Q38" s="19">
        <f>N38-2587</f>
        <v>16</v>
      </c>
      <c r="R38" s="19">
        <v>2</v>
      </c>
      <c r="S38" s="22">
        <v>1</v>
      </c>
      <c r="T38" s="22"/>
      <c r="U38" s="22"/>
    </row>
    <row r="39" spans="1:21" s="231" customFormat="1" ht="15.75">
      <c r="A39" s="25" t="s">
        <v>153</v>
      </c>
      <c r="B39" s="39" t="s">
        <v>238</v>
      </c>
      <c r="C39" s="202">
        <v>451</v>
      </c>
      <c r="D39" s="35">
        <v>417</v>
      </c>
      <c r="E39" s="202">
        <v>477</v>
      </c>
      <c r="F39" s="35">
        <v>431</v>
      </c>
      <c r="G39" s="35">
        <v>434</v>
      </c>
      <c r="H39" s="35"/>
      <c r="I39" s="35"/>
      <c r="J39" s="35"/>
      <c r="K39" s="35"/>
      <c r="L39" s="35"/>
      <c r="M39" s="202">
        <v>442</v>
      </c>
      <c r="N39" s="200">
        <f t="shared" si="3"/>
        <v>2652</v>
      </c>
      <c r="O39" s="193">
        <v>5</v>
      </c>
      <c r="P39" s="193">
        <v>3</v>
      </c>
      <c r="Q39" s="193">
        <f>N39-2533</f>
        <v>119</v>
      </c>
      <c r="R39" s="193">
        <v>2</v>
      </c>
      <c r="S39" s="230">
        <v>1</v>
      </c>
      <c r="T39" s="230"/>
      <c r="U39" s="230"/>
    </row>
    <row r="40" spans="1:21" s="106" customFormat="1" ht="15.75">
      <c r="A40" s="19" t="s">
        <v>154</v>
      </c>
      <c r="B40" s="34" t="s">
        <v>19</v>
      </c>
      <c r="C40" s="102">
        <v>427</v>
      </c>
      <c r="D40" s="34"/>
      <c r="E40" s="250">
        <v>457</v>
      </c>
      <c r="F40" s="34">
        <v>408</v>
      </c>
      <c r="G40" s="250">
        <v>441</v>
      </c>
      <c r="H40" s="34"/>
      <c r="I40" s="34"/>
      <c r="J40" s="34">
        <v>429</v>
      </c>
      <c r="K40" s="34"/>
      <c r="L40" s="34"/>
      <c r="M40" s="250">
        <v>456</v>
      </c>
      <c r="N40" s="105">
        <f t="shared" si="3"/>
        <v>2618</v>
      </c>
      <c r="O40" s="103">
        <v>5</v>
      </c>
      <c r="P40" s="103">
        <v>3</v>
      </c>
      <c r="Q40" s="103">
        <v>7</v>
      </c>
      <c r="R40" s="103">
        <v>2</v>
      </c>
      <c r="S40" s="114">
        <v>1</v>
      </c>
      <c r="T40" s="114"/>
      <c r="U40" s="114"/>
    </row>
    <row r="41" spans="1:21" s="231" customFormat="1" ht="15.75">
      <c r="A41" s="25" t="s">
        <v>155</v>
      </c>
      <c r="B41" s="47" t="s">
        <v>15</v>
      </c>
      <c r="C41" s="47">
        <v>416</v>
      </c>
      <c r="D41" s="202">
        <v>449</v>
      </c>
      <c r="E41" s="202">
        <v>479</v>
      </c>
      <c r="F41" s="35">
        <v>395</v>
      </c>
      <c r="G41" s="202">
        <v>443</v>
      </c>
      <c r="H41" s="35"/>
      <c r="I41" s="35"/>
      <c r="J41" s="35"/>
      <c r="K41" s="35"/>
      <c r="L41" s="35"/>
      <c r="M41" s="35">
        <v>432</v>
      </c>
      <c r="N41" s="200">
        <f t="shared" si="3"/>
        <v>2614</v>
      </c>
      <c r="O41" s="193">
        <v>5</v>
      </c>
      <c r="P41" s="193">
        <v>3</v>
      </c>
      <c r="Q41" s="193">
        <v>34</v>
      </c>
      <c r="R41" s="193">
        <v>2</v>
      </c>
      <c r="S41" s="230">
        <v>1</v>
      </c>
      <c r="T41" s="230"/>
      <c r="U41" s="230"/>
    </row>
    <row r="42" spans="1:21" s="231" customFormat="1" ht="15.75">
      <c r="A42" s="25" t="s">
        <v>156</v>
      </c>
      <c r="B42" s="47" t="s">
        <v>18</v>
      </c>
      <c r="C42" s="202">
        <v>453</v>
      </c>
      <c r="D42" s="35">
        <v>429</v>
      </c>
      <c r="E42" s="202">
        <v>498</v>
      </c>
      <c r="F42" s="35"/>
      <c r="G42" s="35">
        <v>423</v>
      </c>
      <c r="H42" s="35"/>
      <c r="I42" s="35"/>
      <c r="J42" s="202">
        <v>455</v>
      </c>
      <c r="K42" s="35"/>
      <c r="L42" s="35"/>
      <c r="M42" s="202">
        <v>436</v>
      </c>
      <c r="N42" s="200">
        <f t="shared" si="3"/>
        <v>2694</v>
      </c>
      <c r="O42" s="193">
        <v>6</v>
      </c>
      <c r="P42" s="193">
        <v>2</v>
      </c>
      <c r="Q42" s="193">
        <v>100</v>
      </c>
      <c r="R42" s="193">
        <v>2</v>
      </c>
      <c r="S42" s="230">
        <v>1</v>
      </c>
      <c r="T42" s="230"/>
      <c r="U42" s="230"/>
    </row>
    <row r="43" spans="1:21" s="106" customFormat="1" ht="15.75">
      <c r="A43" s="19" t="s">
        <v>157</v>
      </c>
      <c r="B43" s="34" t="s">
        <v>21</v>
      </c>
      <c r="C43" s="102"/>
      <c r="D43" s="34">
        <v>428</v>
      </c>
      <c r="E43" s="250">
        <v>469</v>
      </c>
      <c r="F43" s="250">
        <v>443</v>
      </c>
      <c r="G43" s="34">
        <v>421</v>
      </c>
      <c r="H43" s="34"/>
      <c r="I43" s="34"/>
      <c r="J43" s="250">
        <v>472</v>
      </c>
      <c r="K43" s="34"/>
      <c r="L43" s="34"/>
      <c r="M43" s="250">
        <v>475</v>
      </c>
      <c r="N43" s="105">
        <f t="shared" si="3"/>
        <v>2708</v>
      </c>
      <c r="O43" s="103">
        <v>6</v>
      </c>
      <c r="P43" s="103">
        <v>2</v>
      </c>
      <c r="Q43" s="103">
        <v>202</v>
      </c>
      <c r="R43" s="103">
        <v>2</v>
      </c>
      <c r="S43" s="114">
        <v>1</v>
      </c>
      <c r="T43" s="114"/>
      <c r="U43" s="114"/>
    </row>
    <row r="44" spans="1:21" s="27" customFormat="1" ht="15.75">
      <c r="A44" s="25" t="s">
        <v>243</v>
      </c>
      <c r="B44" s="47" t="s">
        <v>17</v>
      </c>
      <c r="C44" s="47">
        <v>437</v>
      </c>
      <c r="D44" s="35">
        <v>416</v>
      </c>
      <c r="E44" s="35">
        <v>438</v>
      </c>
      <c r="F44" s="35"/>
      <c r="G44" s="202">
        <v>467</v>
      </c>
      <c r="H44" s="35"/>
      <c r="I44" s="35"/>
      <c r="J44" s="202">
        <v>438</v>
      </c>
      <c r="K44" s="35"/>
      <c r="L44" s="35"/>
      <c r="M44" s="202">
        <v>448</v>
      </c>
      <c r="N44" s="128">
        <f t="shared" si="3"/>
        <v>2644</v>
      </c>
      <c r="O44" s="25">
        <v>3</v>
      </c>
      <c r="P44" s="25">
        <v>5</v>
      </c>
      <c r="Q44" s="25">
        <v>-12</v>
      </c>
      <c r="R44" s="25">
        <v>0</v>
      </c>
      <c r="S44" s="26"/>
      <c r="T44" s="26"/>
      <c r="U44" s="26">
        <v>1</v>
      </c>
    </row>
    <row r="45" spans="1:21" s="23" customFormat="1" ht="15.75">
      <c r="A45" s="103" t="s">
        <v>244</v>
      </c>
      <c r="B45" s="104" t="s">
        <v>20</v>
      </c>
      <c r="C45" s="102"/>
      <c r="D45" s="34">
        <v>432</v>
      </c>
      <c r="E45" s="250">
        <v>467</v>
      </c>
      <c r="F45" s="34">
        <v>391</v>
      </c>
      <c r="G45" s="250">
        <v>442</v>
      </c>
      <c r="H45" s="34"/>
      <c r="I45" s="34"/>
      <c r="J45" s="34">
        <v>432</v>
      </c>
      <c r="K45" s="34"/>
      <c r="L45" s="34"/>
      <c r="M45" s="250">
        <v>436</v>
      </c>
      <c r="N45" s="58">
        <f t="shared" si="3"/>
        <v>2600</v>
      </c>
      <c r="O45" s="19">
        <v>3</v>
      </c>
      <c r="P45" s="19">
        <v>5</v>
      </c>
      <c r="Q45" s="19">
        <v>-20</v>
      </c>
      <c r="R45" s="19">
        <v>0</v>
      </c>
      <c r="S45" s="22"/>
      <c r="T45" s="22"/>
      <c r="U45" s="22">
        <v>1</v>
      </c>
    </row>
    <row r="46" spans="1:21" s="91" customFormat="1" ht="15.75">
      <c r="A46" s="87" t="s">
        <v>266</v>
      </c>
      <c r="B46" s="97" t="s">
        <v>193</v>
      </c>
      <c r="C46" s="434">
        <v>441</v>
      </c>
      <c r="D46" s="35">
        <v>396</v>
      </c>
      <c r="E46" s="434">
        <v>465</v>
      </c>
      <c r="F46" s="35"/>
      <c r="G46" s="35"/>
      <c r="H46" s="35"/>
      <c r="I46" s="434">
        <v>430</v>
      </c>
      <c r="J46" s="35"/>
      <c r="K46" s="35"/>
      <c r="L46" s="35">
        <v>418</v>
      </c>
      <c r="M46" s="434">
        <v>461</v>
      </c>
      <c r="N46" s="89">
        <f t="shared" si="3"/>
        <v>2611</v>
      </c>
      <c r="O46" s="87">
        <v>6</v>
      </c>
      <c r="P46" s="87">
        <v>2</v>
      </c>
      <c r="Q46" s="87">
        <v>87</v>
      </c>
      <c r="R46" s="87">
        <v>2</v>
      </c>
      <c r="S46" s="90">
        <v>1</v>
      </c>
      <c r="T46" s="90"/>
      <c r="U46" s="90"/>
    </row>
    <row r="47" spans="1:21" s="211" customFormat="1" ht="16.5" thickBot="1">
      <c r="A47" s="83" t="s">
        <v>267</v>
      </c>
      <c r="B47" s="95" t="s">
        <v>22</v>
      </c>
      <c r="C47" s="102">
        <v>402</v>
      </c>
      <c r="D47" s="150">
        <v>430</v>
      </c>
      <c r="E47" s="442">
        <v>461</v>
      </c>
      <c r="F47" s="150"/>
      <c r="G47" s="442">
        <v>441</v>
      </c>
      <c r="H47" s="150"/>
      <c r="I47" s="150">
        <v>182</v>
      </c>
      <c r="J47" s="442">
        <v>441</v>
      </c>
      <c r="K47" s="150"/>
      <c r="L47" s="150">
        <v>219</v>
      </c>
      <c r="M47" s="150"/>
      <c r="N47" s="373">
        <f t="shared" si="3"/>
        <v>2576</v>
      </c>
      <c r="O47" s="374">
        <v>3</v>
      </c>
      <c r="P47" s="374">
        <v>5</v>
      </c>
      <c r="Q47" s="374">
        <v>-73</v>
      </c>
      <c r="R47" s="374">
        <v>0</v>
      </c>
      <c r="S47" s="375"/>
      <c r="T47" s="375"/>
      <c r="U47" s="375">
        <v>1</v>
      </c>
    </row>
    <row r="48" spans="3:21" ht="16.5" thickTop="1">
      <c r="C48" s="7">
        <f>SUM(B40:B42)+SUM(C35:C47)</f>
        <v>3907</v>
      </c>
      <c r="D48" s="7">
        <f aca="true" t="shared" si="4" ref="D48:M48">SUM(D31:D47)</f>
        <v>5502</v>
      </c>
      <c r="E48" s="7">
        <f>SUM(E31:E38)+SUM(E40:E47)</f>
        <v>6443</v>
      </c>
      <c r="F48" s="7">
        <f t="shared" si="4"/>
        <v>4212</v>
      </c>
      <c r="G48" s="7">
        <f t="shared" si="4"/>
        <v>6068</v>
      </c>
      <c r="H48" s="7">
        <f>SUM(H31:H33)+SUM(H35:H47)</f>
        <v>0</v>
      </c>
      <c r="I48" s="7">
        <f>SUM(I31:I46)</f>
        <v>848</v>
      </c>
      <c r="J48" s="7">
        <f t="shared" si="4"/>
        <v>5804</v>
      </c>
      <c r="K48" s="7">
        <f t="shared" si="4"/>
        <v>0</v>
      </c>
      <c r="L48" s="7">
        <f>SUM(L31:L38)+SUM(L40:L46)</f>
        <v>1585</v>
      </c>
      <c r="M48" s="7">
        <f t="shared" si="4"/>
        <v>6646</v>
      </c>
      <c r="O48" s="1">
        <f>SUM(O31:O47)</f>
        <v>75</v>
      </c>
      <c r="P48" s="1">
        <f>SUM(P31:P47)</f>
        <v>53</v>
      </c>
      <c r="Q48" s="1">
        <f>SUM(Q31:Q47)</f>
        <v>527</v>
      </c>
      <c r="R48" s="1">
        <f>SUM(R31:R47)</f>
        <v>20</v>
      </c>
      <c r="S48" s="2">
        <f>SUM(S31:S47)+S23</f>
        <v>23</v>
      </c>
      <c r="T48" s="2">
        <f>SUM(T31:T47)+T23</f>
        <v>1</v>
      </c>
      <c r="U48" s="2">
        <f>SUM(U31:U47)+U23</f>
        <v>8</v>
      </c>
    </row>
    <row r="49" spans="2:13" ht="15.75">
      <c r="B49" s="57" t="s">
        <v>231</v>
      </c>
      <c r="C49" s="7">
        <f>COUNT(B40:B42)+COUNT(C35:C47)</f>
        <v>9</v>
      </c>
      <c r="D49" s="1">
        <f>COUNT(D31:D47)</f>
        <v>13</v>
      </c>
      <c r="E49" s="7">
        <f>COUNT(E31:E38)+COUNT(E40:E47)</f>
        <v>14</v>
      </c>
      <c r="F49" s="1">
        <f aca="true" t="shared" si="5" ref="F49:M49">COUNT(F31:F47)</f>
        <v>10</v>
      </c>
      <c r="G49" s="1">
        <f t="shared" si="5"/>
        <v>14</v>
      </c>
      <c r="H49" s="7">
        <f>COUNT(H31:H33)+COUNT(H35:H47)</f>
        <v>0</v>
      </c>
      <c r="I49" s="1">
        <f>COUNT(I31:I46)</f>
        <v>2</v>
      </c>
      <c r="J49" s="1">
        <f t="shared" si="5"/>
        <v>13</v>
      </c>
      <c r="K49" s="1">
        <f t="shared" si="5"/>
        <v>0</v>
      </c>
      <c r="L49" s="7">
        <f>COUNT(L31:L38)+COUNT(L40:L46)</f>
        <v>4</v>
      </c>
      <c r="M49" s="1">
        <f t="shared" si="5"/>
        <v>15</v>
      </c>
    </row>
    <row r="50" spans="2:21" ht="31.5">
      <c r="B50" s="11" t="s">
        <v>230</v>
      </c>
      <c r="C50" s="16">
        <f>C48/C49</f>
        <v>434.1111111111111</v>
      </c>
      <c r="D50" s="16">
        <f>D48/D49</f>
        <v>423.2307692307692</v>
      </c>
      <c r="E50" s="16">
        <f aca="true" t="shared" si="6" ref="E50:M50">E48/E49</f>
        <v>460.2142857142857</v>
      </c>
      <c r="F50" s="16">
        <f t="shared" si="6"/>
        <v>421.2</v>
      </c>
      <c r="G50" s="16">
        <f t="shared" si="6"/>
        <v>433.42857142857144</v>
      </c>
      <c r="H50" s="16"/>
      <c r="I50" s="16">
        <f t="shared" si="6"/>
        <v>424</v>
      </c>
      <c r="J50" s="16">
        <f t="shared" si="6"/>
        <v>446.46153846153845</v>
      </c>
      <c r="K50" s="16"/>
      <c r="L50" s="16">
        <f>L48/L49</f>
        <v>396.25</v>
      </c>
      <c r="M50" s="16">
        <f t="shared" si="6"/>
        <v>443.06666666666666</v>
      </c>
      <c r="N50" s="3" t="s">
        <v>29</v>
      </c>
      <c r="O50" s="461" t="s">
        <v>109</v>
      </c>
      <c r="P50" s="461"/>
      <c r="Q50" s="3" t="s">
        <v>30</v>
      </c>
      <c r="R50" s="10" t="s">
        <v>110</v>
      </c>
      <c r="T50" s="13" t="s">
        <v>118</v>
      </c>
      <c r="U50" s="63" t="s">
        <v>209</v>
      </c>
    </row>
    <row r="51" spans="14:21" ht="15.75">
      <c r="N51" s="6">
        <f>SUM(N31:N47)+N26</f>
        <v>83443</v>
      </c>
      <c r="O51" s="6">
        <f>SUM(O31:O47)+O26</f>
        <v>158</v>
      </c>
      <c r="P51" s="6">
        <f>SUM(P31:P47)+P26</f>
        <v>98</v>
      </c>
      <c r="Q51" s="6">
        <f>SUM(Q31:Q47)</f>
        <v>527</v>
      </c>
      <c r="R51" s="6">
        <f>SUM(R31:R47)+R26</f>
        <v>47</v>
      </c>
      <c r="T51" s="46">
        <f>O51-P51</f>
        <v>60</v>
      </c>
      <c r="U51" s="2">
        <f>SUM(S48:U48)</f>
        <v>32</v>
      </c>
    </row>
    <row r="53" spans="14:15" ht="15.75">
      <c r="N53" s="1" t="s">
        <v>120</v>
      </c>
      <c r="O53" s="18">
        <f>N51/U51</f>
        <v>2607.59375</v>
      </c>
    </row>
  </sheetData>
  <sheetProtection/>
  <mergeCells count="11">
    <mergeCell ref="C27:D27"/>
    <mergeCell ref="O4:P4"/>
    <mergeCell ref="O50:P50"/>
    <mergeCell ref="F27:H27"/>
    <mergeCell ref="I27:J27"/>
    <mergeCell ref="O25:P25"/>
    <mergeCell ref="L1:M1"/>
    <mergeCell ref="C4:M4"/>
    <mergeCell ref="E1:F1"/>
    <mergeCell ref="I1:J1"/>
    <mergeCell ref="L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"/>
  <sheetViews>
    <sheetView zoomScale="90" zoomScaleNormal="90" zoomScalePageLayoutView="0" workbookViewId="0" topLeftCell="B28">
      <selection activeCell="L47" sqref="L47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10.375" style="1" customWidth="1"/>
    <col min="4" max="4" width="9.125" style="1" customWidth="1"/>
    <col min="5" max="7" width="9.625" style="1" customWidth="1"/>
    <col min="8" max="8" width="9.875" style="1" customWidth="1"/>
    <col min="9" max="9" width="10.00390625" style="1" customWidth="1"/>
    <col min="10" max="11" width="8.875" style="1" customWidth="1"/>
    <col min="12" max="12" width="11.875" style="1" customWidth="1"/>
    <col min="13" max="13" width="16.625" style="1" bestFit="1" customWidth="1"/>
    <col min="14" max="14" width="17.75390625" style="1" bestFit="1" customWidth="1"/>
    <col min="15" max="15" width="11.25390625" style="1" customWidth="1"/>
    <col min="16" max="16" width="10.375" style="1" customWidth="1"/>
    <col min="17" max="17" width="13.375" style="1" customWidth="1"/>
    <col min="18" max="18" width="12.25390625" style="1" customWidth="1"/>
    <col min="19" max="19" width="10.625" style="0" bestFit="1" customWidth="1"/>
    <col min="20" max="20" width="12.125" style="0" customWidth="1"/>
    <col min="21" max="21" width="10.25390625" style="0" customWidth="1"/>
  </cols>
  <sheetData>
    <row r="1" spans="1:15" ht="15.75">
      <c r="A1" s="48" t="s">
        <v>133</v>
      </c>
      <c r="B1" s="49"/>
      <c r="C1" s="49" t="s">
        <v>189</v>
      </c>
      <c r="D1" s="49" t="s">
        <v>131</v>
      </c>
      <c r="E1" s="459" t="s">
        <v>132</v>
      </c>
      <c r="F1" s="459"/>
      <c r="G1" s="459"/>
      <c r="H1" s="459"/>
      <c r="J1" s="455" t="s">
        <v>143</v>
      </c>
      <c r="K1" s="455"/>
      <c r="L1" s="11" t="s">
        <v>144</v>
      </c>
      <c r="M1" s="11" t="s">
        <v>118</v>
      </c>
      <c r="N1" s="1" t="s">
        <v>120</v>
      </c>
      <c r="O1" s="18">
        <f>N26/T26</f>
        <v>2475.0625</v>
      </c>
    </row>
    <row r="2" spans="10:15" ht="15.75">
      <c r="J2" s="1">
        <f>O26+O48</f>
        <v>98</v>
      </c>
      <c r="K2" s="1">
        <f>P26+P48</f>
        <v>158</v>
      </c>
      <c r="L2" s="1">
        <f>R26+R48</f>
        <v>14</v>
      </c>
      <c r="M2" s="1">
        <f>J2-K2</f>
        <v>-60</v>
      </c>
      <c r="N2" s="1" t="s">
        <v>216</v>
      </c>
      <c r="O2" s="6">
        <f>N6+N8+N10+N12+N14+N16+N18+N20+N22+N32+N34+N38+N41+N43+N45+N47</f>
        <v>39325</v>
      </c>
    </row>
    <row r="4" spans="3:21" ht="15.75">
      <c r="C4" s="461" t="s">
        <v>26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O4" s="461" t="s">
        <v>27</v>
      </c>
      <c r="P4" s="461"/>
      <c r="S4" s="2"/>
      <c r="T4" s="2"/>
      <c r="U4" s="2"/>
    </row>
    <row r="5" spans="2:21" ht="32.25" thickBot="1">
      <c r="B5" s="3" t="s">
        <v>24</v>
      </c>
      <c r="C5" s="8" t="s">
        <v>85</v>
      </c>
      <c r="D5" s="8" t="s">
        <v>284</v>
      </c>
      <c r="E5" s="8" t="s">
        <v>86</v>
      </c>
      <c r="F5" s="8" t="s">
        <v>296</v>
      </c>
      <c r="G5" s="8" t="s">
        <v>181</v>
      </c>
      <c r="H5" s="8" t="s">
        <v>87</v>
      </c>
      <c r="I5" s="8" t="s">
        <v>88</v>
      </c>
      <c r="J5" s="8" t="s">
        <v>89</v>
      </c>
      <c r="K5" s="8" t="s">
        <v>91</v>
      </c>
      <c r="L5" s="8" t="s">
        <v>293</v>
      </c>
      <c r="M5" s="8" t="s">
        <v>182</v>
      </c>
      <c r="N5" s="3" t="s">
        <v>29</v>
      </c>
      <c r="O5" s="3" t="s">
        <v>238</v>
      </c>
      <c r="P5" s="3" t="s">
        <v>28</v>
      </c>
      <c r="Q5" s="3" t="s">
        <v>30</v>
      </c>
      <c r="R5" s="10" t="s">
        <v>108</v>
      </c>
      <c r="S5" s="2" t="s">
        <v>174</v>
      </c>
      <c r="T5" s="2" t="s">
        <v>175</v>
      </c>
      <c r="U5" s="2" t="s">
        <v>176</v>
      </c>
    </row>
    <row r="6" spans="1:21" s="27" customFormat="1" ht="15.75">
      <c r="A6" s="25" t="s">
        <v>0</v>
      </c>
      <c r="B6" s="47" t="s">
        <v>15</v>
      </c>
      <c r="C6" s="202">
        <v>439</v>
      </c>
      <c r="D6" s="35">
        <v>309</v>
      </c>
      <c r="E6" s="93"/>
      <c r="F6" s="93"/>
      <c r="G6" s="93"/>
      <c r="H6" s="93">
        <v>405</v>
      </c>
      <c r="I6" s="203">
        <v>450</v>
      </c>
      <c r="J6" s="93">
        <v>377</v>
      </c>
      <c r="K6" s="93">
        <v>397</v>
      </c>
      <c r="L6" s="93"/>
      <c r="M6" s="196"/>
      <c r="N6" s="192">
        <f aca="true" t="shared" si="0" ref="N6:N17">SUM(C6:M6)</f>
        <v>2377</v>
      </c>
      <c r="O6" s="193">
        <v>2</v>
      </c>
      <c r="P6" s="193">
        <v>6</v>
      </c>
      <c r="Q6" s="193">
        <v>-103</v>
      </c>
      <c r="R6" s="193">
        <v>0</v>
      </c>
      <c r="S6" s="26"/>
      <c r="T6" s="26"/>
      <c r="U6" s="26">
        <v>1</v>
      </c>
    </row>
    <row r="7" spans="1:19" s="102" customFormat="1" ht="15.75">
      <c r="A7" s="102" t="s">
        <v>1</v>
      </c>
      <c r="B7" s="34" t="s">
        <v>21</v>
      </c>
      <c r="C7" s="250">
        <v>451</v>
      </c>
      <c r="D7" s="34"/>
      <c r="E7" s="34">
        <v>157</v>
      </c>
      <c r="F7" s="34"/>
      <c r="G7" s="34"/>
      <c r="H7" s="34">
        <v>400</v>
      </c>
      <c r="I7" s="250">
        <v>424</v>
      </c>
      <c r="J7" s="34">
        <v>189</v>
      </c>
      <c r="K7" s="250">
        <v>469</v>
      </c>
      <c r="L7" s="34"/>
      <c r="M7" s="275">
        <v>415</v>
      </c>
      <c r="N7" s="168">
        <f t="shared" si="0"/>
        <v>2505</v>
      </c>
      <c r="O7" s="102">
        <v>6</v>
      </c>
      <c r="P7" s="102">
        <v>2</v>
      </c>
      <c r="Q7" s="168">
        <v>128</v>
      </c>
      <c r="R7" s="102">
        <v>2</v>
      </c>
      <c r="S7" s="102">
        <v>1</v>
      </c>
    </row>
    <row r="8" spans="1:19" s="47" customFormat="1" ht="15.75">
      <c r="A8" s="47" t="s">
        <v>2</v>
      </c>
      <c r="B8" s="35" t="s">
        <v>20</v>
      </c>
      <c r="C8" s="202">
        <v>455</v>
      </c>
      <c r="D8" s="35"/>
      <c r="E8" s="35"/>
      <c r="F8" s="35"/>
      <c r="G8" s="35"/>
      <c r="H8" s="35">
        <v>404</v>
      </c>
      <c r="I8" s="202">
        <v>434</v>
      </c>
      <c r="J8" s="35">
        <v>414</v>
      </c>
      <c r="K8" s="202">
        <v>459</v>
      </c>
      <c r="L8" s="35"/>
      <c r="M8" s="33">
        <v>405</v>
      </c>
      <c r="N8" s="245">
        <f t="shared" si="0"/>
        <v>2571</v>
      </c>
      <c r="O8" s="47">
        <v>5</v>
      </c>
      <c r="P8" s="47">
        <v>3</v>
      </c>
      <c r="Q8" s="245">
        <v>24</v>
      </c>
      <c r="R8" s="47">
        <v>2</v>
      </c>
      <c r="S8" s="47">
        <v>1</v>
      </c>
    </row>
    <row r="9" spans="1:21" s="102" customFormat="1" ht="15.75">
      <c r="A9" s="102" t="s">
        <v>3</v>
      </c>
      <c r="B9" s="102" t="s">
        <v>22</v>
      </c>
      <c r="C9" s="250">
        <v>446</v>
      </c>
      <c r="D9" s="34"/>
      <c r="E9" s="34"/>
      <c r="F9" s="34"/>
      <c r="G9" s="34"/>
      <c r="H9" s="34">
        <v>411</v>
      </c>
      <c r="I9" s="250">
        <v>415</v>
      </c>
      <c r="J9" s="34">
        <v>393</v>
      </c>
      <c r="K9" s="34">
        <v>373</v>
      </c>
      <c r="L9" s="34"/>
      <c r="M9" s="30">
        <v>404</v>
      </c>
      <c r="N9" s="168">
        <f t="shared" si="0"/>
        <v>2442</v>
      </c>
      <c r="O9" s="102">
        <v>2</v>
      </c>
      <c r="P9" s="102">
        <v>6</v>
      </c>
      <c r="Q9" s="168">
        <v>-96</v>
      </c>
      <c r="R9" s="102">
        <v>0</v>
      </c>
      <c r="U9" s="102">
        <v>1</v>
      </c>
    </row>
    <row r="10" spans="1:20" s="47" customFormat="1" ht="15.75">
      <c r="A10" s="47" t="s">
        <v>4</v>
      </c>
      <c r="B10" s="35" t="s">
        <v>195</v>
      </c>
      <c r="C10" s="202">
        <v>463</v>
      </c>
      <c r="D10" s="35"/>
      <c r="E10" s="35"/>
      <c r="F10" s="35"/>
      <c r="G10" s="35"/>
      <c r="H10" s="202">
        <v>448</v>
      </c>
      <c r="I10" s="202">
        <v>441</v>
      </c>
      <c r="J10" s="35">
        <v>358</v>
      </c>
      <c r="K10" s="35">
        <v>417</v>
      </c>
      <c r="L10" s="35"/>
      <c r="M10" s="326">
        <v>453</v>
      </c>
      <c r="N10" s="245">
        <f t="shared" si="0"/>
        <v>2580</v>
      </c>
      <c r="O10" s="47">
        <v>4</v>
      </c>
      <c r="P10" s="47">
        <v>4</v>
      </c>
      <c r="Q10" s="245">
        <v>-20</v>
      </c>
      <c r="R10" s="47">
        <v>1</v>
      </c>
      <c r="T10" s="47">
        <v>1</v>
      </c>
    </row>
    <row r="11" spans="1:19" s="102" customFormat="1" ht="15.75">
      <c r="A11" s="102" t="s">
        <v>5</v>
      </c>
      <c r="B11" s="34" t="s">
        <v>196</v>
      </c>
      <c r="C11" s="250">
        <v>458</v>
      </c>
      <c r="D11" s="34"/>
      <c r="E11" s="34"/>
      <c r="F11" s="34"/>
      <c r="G11" s="34"/>
      <c r="H11" s="34">
        <v>404</v>
      </c>
      <c r="I11" s="250">
        <v>443</v>
      </c>
      <c r="J11" s="34">
        <v>406</v>
      </c>
      <c r="K11" s="250">
        <v>438</v>
      </c>
      <c r="L11" s="34"/>
      <c r="M11" s="30">
        <v>396</v>
      </c>
      <c r="N11" s="168">
        <f t="shared" si="0"/>
        <v>2545</v>
      </c>
      <c r="O11" s="102">
        <v>5</v>
      </c>
      <c r="P11" s="102">
        <v>3</v>
      </c>
      <c r="Q11" s="168">
        <v>91</v>
      </c>
      <c r="R11" s="102">
        <v>2</v>
      </c>
      <c r="S11" s="102">
        <v>1</v>
      </c>
    </row>
    <row r="12" spans="1:21" s="47" customFormat="1" ht="15.75">
      <c r="A12" s="47" t="s">
        <v>6</v>
      </c>
      <c r="B12" s="35" t="s">
        <v>192</v>
      </c>
      <c r="C12" s="47">
        <v>403</v>
      </c>
      <c r="D12" s="35"/>
      <c r="E12" s="35">
        <v>173</v>
      </c>
      <c r="F12" s="35"/>
      <c r="G12" s="35"/>
      <c r="H12" s="35">
        <v>396</v>
      </c>
      <c r="I12" s="202">
        <v>420</v>
      </c>
      <c r="J12" s="35">
        <v>188</v>
      </c>
      <c r="K12" s="35">
        <v>416</v>
      </c>
      <c r="L12" s="35"/>
      <c r="M12" s="326">
        <v>424</v>
      </c>
      <c r="N12" s="245">
        <f t="shared" si="0"/>
        <v>2420</v>
      </c>
      <c r="O12" s="47">
        <v>2</v>
      </c>
      <c r="P12" s="47">
        <v>6</v>
      </c>
      <c r="Q12" s="245">
        <v>-180</v>
      </c>
      <c r="R12" s="47">
        <v>0</v>
      </c>
      <c r="U12" s="47">
        <v>1</v>
      </c>
    </row>
    <row r="13" spans="1:19" s="102" customFormat="1" ht="15.75">
      <c r="A13" s="102" t="s">
        <v>7</v>
      </c>
      <c r="B13" s="34" t="s">
        <v>272</v>
      </c>
      <c r="C13" s="250">
        <v>436</v>
      </c>
      <c r="D13" s="34"/>
      <c r="E13" s="34"/>
      <c r="F13" s="34"/>
      <c r="G13" s="34"/>
      <c r="H13" s="34">
        <v>406</v>
      </c>
      <c r="I13" s="250">
        <v>428</v>
      </c>
      <c r="J13" s="34">
        <v>392</v>
      </c>
      <c r="K13" s="250">
        <v>420</v>
      </c>
      <c r="L13" s="250">
        <v>419</v>
      </c>
      <c r="M13" s="30"/>
      <c r="N13" s="168">
        <f t="shared" si="0"/>
        <v>2501</v>
      </c>
      <c r="O13" s="102">
        <v>6</v>
      </c>
      <c r="P13" s="102">
        <v>2</v>
      </c>
      <c r="Q13" s="168">
        <v>37</v>
      </c>
      <c r="R13" s="102">
        <v>2</v>
      </c>
      <c r="S13" s="102">
        <v>1</v>
      </c>
    </row>
    <row r="14" spans="1:20" s="47" customFormat="1" ht="15.75">
      <c r="A14" s="47" t="s">
        <v>8</v>
      </c>
      <c r="B14" s="35" t="s">
        <v>19</v>
      </c>
      <c r="C14" s="202">
        <v>471</v>
      </c>
      <c r="D14" s="35"/>
      <c r="E14" s="35"/>
      <c r="F14" s="35"/>
      <c r="G14" s="35"/>
      <c r="H14" s="35">
        <v>414</v>
      </c>
      <c r="I14" s="202">
        <v>435</v>
      </c>
      <c r="J14" s="35"/>
      <c r="K14" s="35">
        <v>398</v>
      </c>
      <c r="L14" s="35">
        <v>372</v>
      </c>
      <c r="M14" s="33">
        <v>398</v>
      </c>
      <c r="N14" s="245">
        <f t="shared" si="0"/>
        <v>2488</v>
      </c>
      <c r="O14" s="47">
        <v>4</v>
      </c>
      <c r="P14" s="47">
        <v>4</v>
      </c>
      <c r="Q14" s="245">
        <v>12</v>
      </c>
      <c r="R14" s="47">
        <v>1</v>
      </c>
      <c r="T14" s="47">
        <v>1</v>
      </c>
    </row>
    <row r="15" spans="1:21" s="102" customFormat="1" ht="15.75">
      <c r="A15" s="102" t="s">
        <v>9</v>
      </c>
      <c r="B15" s="102" t="s">
        <v>18</v>
      </c>
      <c r="C15" s="102">
        <v>440</v>
      </c>
      <c r="D15" s="34"/>
      <c r="E15" s="34"/>
      <c r="F15" s="34"/>
      <c r="G15" s="34"/>
      <c r="H15" s="34">
        <v>404</v>
      </c>
      <c r="I15" s="250">
        <v>453</v>
      </c>
      <c r="J15" s="34">
        <v>419</v>
      </c>
      <c r="K15" s="250">
        <v>444</v>
      </c>
      <c r="L15" s="34">
        <v>421</v>
      </c>
      <c r="M15" s="30"/>
      <c r="N15" s="168">
        <f t="shared" si="0"/>
        <v>2581</v>
      </c>
      <c r="O15" s="102">
        <v>2</v>
      </c>
      <c r="P15" s="102">
        <v>6</v>
      </c>
      <c r="Q15" s="102">
        <v>-84</v>
      </c>
      <c r="R15" s="102">
        <v>0</v>
      </c>
      <c r="U15" s="102">
        <v>1</v>
      </c>
    </row>
    <row r="16" spans="1:21" s="47" customFormat="1" ht="15.75">
      <c r="A16" s="47" t="s">
        <v>10</v>
      </c>
      <c r="B16" s="39" t="s">
        <v>17</v>
      </c>
      <c r="C16" s="202">
        <v>463</v>
      </c>
      <c r="D16" s="35"/>
      <c r="E16" s="35"/>
      <c r="F16" s="35"/>
      <c r="G16" s="35"/>
      <c r="H16" s="39">
        <v>390</v>
      </c>
      <c r="I16" s="252">
        <v>422</v>
      </c>
      <c r="J16" s="39">
        <v>405</v>
      </c>
      <c r="K16" s="39">
        <v>401</v>
      </c>
      <c r="L16" s="39">
        <v>380</v>
      </c>
      <c r="M16" s="33"/>
      <c r="N16" s="245">
        <f t="shared" si="0"/>
        <v>2461</v>
      </c>
      <c r="O16" s="47">
        <v>2</v>
      </c>
      <c r="P16" s="47">
        <v>6</v>
      </c>
      <c r="Q16" s="47">
        <v>-120</v>
      </c>
      <c r="R16" s="47">
        <v>0</v>
      </c>
      <c r="U16" s="47">
        <v>1</v>
      </c>
    </row>
    <row r="17" spans="1:21" s="102" customFormat="1" ht="15.75">
      <c r="A17" s="102" t="s">
        <v>11</v>
      </c>
      <c r="B17" s="102" t="s">
        <v>193</v>
      </c>
      <c r="C17" s="250">
        <v>424</v>
      </c>
      <c r="D17" s="34">
        <v>352</v>
      </c>
      <c r="E17" s="34"/>
      <c r="F17" s="34"/>
      <c r="G17" s="34"/>
      <c r="H17" s="250">
        <v>395</v>
      </c>
      <c r="I17" s="250">
        <v>428</v>
      </c>
      <c r="J17" s="34"/>
      <c r="K17" s="34">
        <v>380</v>
      </c>
      <c r="L17" s="34">
        <v>379</v>
      </c>
      <c r="M17" s="30"/>
      <c r="N17" s="168">
        <f t="shared" si="0"/>
        <v>2358</v>
      </c>
      <c r="O17" s="102">
        <v>3</v>
      </c>
      <c r="P17" s="102">
        <v>5</v>
      </c>
      <c r="Q17" s="168">
        <v>-63</v>
      </c>
      <c r="R17" s="102">
        <v>0</v>
      </c>
      <c r="U17" s="102">
        <v>1</v>
      </c>
    </row>
    <row r="18" spans="1:21" s="47" customFormat="1" ht="15.75">
      <c r="A18" s="47" t="s">
        <v>12</v>
      </c>
      <c r="B18" s="47" t="s">
        <v>241</v>
      </c>
      <c r="C18" s="47">
        <v>406</v>
      </c>
      <c r="H18" s="202">
        <v>429</v>
      </c>
      <c r="I18" s="202">
        <v>424</v>
      </c>
      <c r="J18" s="47">
        <v>391</v>
      </c>
      <c r="K18" s="202">
        <v>444</v>
      </c>
      <c r="L18" s="47">
        <v>394</v>
      </c>
      <c r="M18" s="281"/>
      <c r="N18" s="245">
        <f>SUM(C18:M18)</f>
        <v>2488</v>
      </c>
      <c r="O18" s="47">
        <v>3</v>
      </c>
      <c r="P18" s="47">
        <v>5</v>
      </c>
      <c r="Q18" s="47">
        <v>-93</v>
      </c>
      <c r="R18" s="47">
        <v>0</v>
      </c>
      <c r="U18" s="47">
        <v>1</v>
      </c>
    </row>
    <row r="19" spans="1:21" s="47" customFormat="1" ht="15.75">
      <c r="A19" s="47" t="s">
        <v>13</v>
      </c>
      <c r="B19" s="47" t="s">
        <v>234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276"/>
      <c r="N19" s="245" t="s">
        <v>234</v>
      </c>
      <c r="O19" s="277"/>
      <c r="P19" s="277"/>
      <c r="Q19" s="278"/>
      <c r="R19" s="277"/>
      <c r="S19" s="277"/>
      <c r="T19" s="277"/>
      <c r="U19" s="277"/>
    </row>
    <row r="20" spans="1:21" s="47" customFormat="1" ht="15.75">
      <c r="A20" s="47" t="s">
        <v>14</v>
      </c>
      <c r="B20" s="35" t="s">
        <v>242</v>
      </c>
      <c r="C20" s="202">
        <v>437</v>
      </c>
      <c r="D20" s="35">
        <v>178</v>
      </c>
      <c r="E20" s="35">
        <v>210</v>
      </c>
      <c r="F20" s="35"/>
      <c r="G20" s="35"/>
      <c r="H20" s="35">
        <v>376</v>
      </c>
      <c r="I20" s="202">
        <v>444</v>
      </c>
      <c r="J20" s="35"/>
      <c r="K20" s="35">
        <v>419</v>
      </c>
      <c r="L20" s="202">
        <v>421</v>
      </c>
      <c r="M20" s="33"/>
      <c r="N20" s="245">
        <f>SUM(C20:M20)</f>
        <v>2485</v>
      </c>
      <c r="O20" s="47">
        <v>3</v>
      </c>
      <c r="P20" s="47">
        <v>5</v>
      </c>
      <c r="Q20" s="245">
        <f>N20-2552</f>
        <v>-67</v>
      </c>
      <c r="R20" s="47">
        <v>0</v>
      </c>
      <c r="U20" s="47">
        <v>1</v>
      </c>
    </row>
    <row r="21" spans="1:21" s="102" customFormat="1" ht="15.75">
      <c r="A21" s="102" t="s">
        <v>239</v>
      </c>
      <c r="B21" s="102" t="s">
        <v>194</v>
      </c>
      <c r="D21" s="34">
        <v>379</v>
      </c>
      <c r="E21" s="34">
        <v>325</v>
      </c>
      <c r="F21" s="34">
        <v>172</v>
      </c>
      <c r="G21" s="34">
        <v>171</v>
      </c>
      <c r="H21" s="34">
        <v>180</v>
      </c>
      <c r="I21" s="250">
        <v>439</v>
      </c>
      <c r="J21" s="34"/>
      <c r="K21" s="250">
        <v>195</v>
      </c>
      <c r="L21" s="34"/>
      <c r="M21" s="275">
        <v>426</v>
      </c>
      <c r="N21" s="168">
        <f>SUM(C21:M21)</f>
        <v>2287</v>
      </c>
      <c r="O21" s="102">
        <v>2</v>
      </c>
      <c r="P21" s="102">
        <v>6</v>
      </c>
      <c r="Q21" s="168">
        <v>-260</v>
      </c>
      <c r="R21" s="102">
        <v>0</v>
      </c>
      <c r="U21" s="102">
        <v>1</v>
      </c>
    </row>
    <row r="22" spans="1:21" s="47" customFormat="1" ht="16.5" thickBot="1">
      <c r="A22" s="47" t="s">
        <v>240</v>
      </c>
      <c r="B22" s="47" t="s">
        <v>25</v>
      </c>
      <c r="C22" s="167">
        <v>433</v>
      </c>
      <c r="D22" s="37">
        <v>421</v>
      </c>
      <c r="E22" s="37"/>
      <c r="F22" s="37"/>
      <c r="G22" s="37"/>
      <c r="H22" s="37">
        <v>402</v>
      </c>
      <c r="I22" s="37">
        <v>423</v>
      </c>
      <c r="J22" s="37"/>
      <c r="K22" s="37"/>
      <c r="L22" s="37">
        <v>403</v>
      </c>
      <c r="M22" s="356">
        <v>430</v>
      </c>
      <c r="N22" s="279">
        <f>SUM(C22:M22)</f>
        <v>2512</v>
      </c>
      <c r="O22" s="280">
        <v>2</v>
      </c>
      <c r="P22" s="280">
        <v>6</v>
      </c>
      <c r="Q22" s="279">
        <v>-86</v>
      </c>
      <c r="R22" s="280">
        <v>0</v>
      </c>
      <c r="S22" s="280"/>
      <c r="T22" s="280"/>
      <c r="U22" s="280">
        <v>1</v>
      </c>
    </row>
    <row r="23" spans="3:21" ht="16.5" thickTop="1">
      <c r="C23" s="6">
        <f>SUM(C6:C22)</f>
        <v>6625</v>
      </c>
      <c r="D23" s="6">
        <f>SUM(D6:D19)+SUM(D21:D22)</f>
        <v>1461</v>
      </c>
      <c r="E23" s="6">
        <f>SUM(E21:E22)</f>
        <v>325</v>
      </c>
      <c r="F23" s="6"/>
      <c r="G23" s="6"/>
      <c r="H23" s="6">
        <f>SUM(H6:H12)+SUM(H13:H20)+H22</f>
        <v>6084</v>
      </c>
      <c r="I23" s="6">
        <f>SUM(I6:I22)</f>
        <v>6923</v>
      </c>
      <c r="J23" s="6">
        <f>SUM(J6)+SUM(J8:J11)+SUM(J13:J22)</f>
        <v>3555</v>
      </c>
      <c r="K23" s="6">
        <f>SUM(K6:K12)+SUM(K13:K20)+K22</f>
        <v>5875</v>
      </c>
      <c r="L23" s="6">
        <f>SUM(L6:L22)</f>
        <v>3189</v>
      </c>
      <c r="M23" s="6">
        <f>SUM(M6:M22)</f>
        <v>3751</v>
      </c>
      <c r="S23" s="46">
        <f>SUM(S6:S22)</f>
        <v>4</v>
      </c>
      <c r="T23" s="46">
        <f>SUM(T6:T22)</f>
        <v>2</v>
      </c>
      <c r="U23" s="46">
        <f>SUM(U6:U22)</f>
        <v>10</v>
      </c>
    </row>
    <row r="24" spans="2:13" ht="15.75">
      <c r="B24" s="1" t="s">
        <v>211</v>
      </c>
      <c r="C24" s="6">
        <f>COUNT(C6:C22)</f>
        <v>15</v>
      </c>
      <c r="D24" s="6">
        <f>COUNT(D6:D19)+COUNT(D21:D22)</f>
        <v>4</v>
      </c>
      <c r="E24" s="6">
        <f>COUNT(E21:E22)</f>
        <v>1</v>
      </c>
      <c r="F24" s="6"/>
      <c r="G24" s="6"/>
      <c r="H24" s="6">
        <f>COUNT(H6:H12)+COUNT(H13:H20)+COUNT(H22)</f>
        <v>15</v>
      </c>
      <c r="I24" s="6">
        <f>COUNT(I6:I22)</f>
        <v>16</v>
      </c>
      <c r="J24" s="6">
        <f>COUNT(J6)+COUNT(J8:J11)+COUNT(J13:J22)</f>
        <v>9</v>
      </c>
      <c r="K24" s="6">
        <f>COUNT(K6:K12)+COUNT(K13:K20)+COUNT(K22)</f>
        <v>14</v>
      </c>
      <c r="L24" s="6">
        <f>COUNT(L6:L22)</f>
        <v>8</v>
      </c>
      <c r="M24" s="6">
        <f>COUNT(M6:M22)</f>
        <v>9</v>
      </c>
    </row>
    <row r="25" spans="2:20" ht="35.25" customHeight="1">
      <c r="B25" s="11" t="s">
        <v>119</v>
      </c>
      <c r="C25" s="16">
        <f>AVERAGE(C6:C22)</f>
        <v>441.6666666666667</v>
      </c>
      <c r="D25" s="16">
        <f>D23/D24</f>
        <v>365.25</v>
      </c>
      <c r="E25" s="16">
        <f>E23/E24</f>
        <v>325</v>
      </c>
      <c r="F25" s="16"/>
      <c r="G25" s="16"/>
      <c r="H25" s="16">
        <f>H23/H24</f>
        <v>405.6</v>
      </c>
      <c r="I25" s="16">
        <f>I23/I24</f>
        <v>432.6875</v>
      </c>
      <c r="J25" s="16">
        <f>J23/J24</f>
        <v>395</v>
      </c>
      <c r="K25" s="16">
        <f>K23/K24</f>
        <v>419.64285714285717</v>
      </c>
      <c r="L25" s="16">
        <f>AVERAGE(L6:L22)</f>
        <v>398.625</v>
      </c>
      <c r="M25" s="16">
        <f>AVERAGE(M6:M22)</f>
        <v>416.77777777777777</v>
      </c>
      <c r="N25" s="3" t="s">
        <v>29</v>
      </c>
      <c r="O25" s="461" t="s">
        <v>109</v>
      </c>
      <c r="P25" s="461"/>
      <c r="Q25" s="3" t="s">
        <v>30</v>
      </c>
      <c r="R25" s="10" t="s">
        <v>110</v>
      </c>
      <c r="S25" s="63" t="s">
        <v>118</v>
      </c>
      <c r="T25" s="63" t="s">
        <v>209</v>
      </c>
    </row>
    <row r="26" spans="14:20" ht="15.75">
      <c r="N26" s="6">
        <f>SUM(N6:N22)</f>
        <v>39601</v>
      </c>
      <c r="O26" s="1">
        <f>SUM(O6:O22)</f>
        <v>53</v>
      </c>
      <c r="P26" s="1">
        <f>SUM(P6:P22)</f>
        <v>75</v>
      </c>
      <c r="Q26" s="1">
        <f>SUM(Q6:Q22)</f>
        <v>-880</v>
      </c>
      <c r="R26" s="1">
        <f>SUM(R6:R22)</f>
        <v>10</v>
      </c>
      <c r="S26" s="2">
        <f>O26-P26</f>
        <v>-22</v>
      </c>
      <c r="T26" s="46">
        <f>SUM(S23:U23)</f>
        <v>16</v>
      </c>
    </row>
    <row r="27" spans="3:12" ht="15.75">
      <c r="C27" s="463" t="s">
        <v>37</v>
      </c>
      <c r="D27" s="463"/>
      <c r="H27" s="458" t="s">
        <v>124</v>
      </c>
      <c r="I27" s="458"/>
      <c r="K27" s="462" t="s">
        <v>125</v>
      </c>
      <c r="L27" s="462"/>
    </row>
    <row r="28" spans="1:21" ht="16.5" thickBot="1">
      <c r="A28" s="62"/>
      <c r="B28" s="62"/>
      <c r="C28" s="62"/>
      <c r="D28" s="62"/>
      <c r="E28" s="62"/>
      <c r="F28" s="62"/>
      <c r="G28" s="62"/>
      <c r="H28" s="127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123"/>
      <c r="T28" s="123"/>
      <c r="U28" s="123"/>
    </row>
    <row r="30" spans="2:21" ht="32.25" thickBot="1">
      <c r="B30" s="3" t="s">
        <v>24</v>
      </c>
      <c r="C30" s="8" t="s">
        <v>85</v>
      </c>
      <c r="D30" s="8" t="s">
        <v>284</v>
      </c>
      <c r="E30" s="8" t="s">
        <v>86</v>
      </c>
      <c r="F30" s="8" t="s">
        <v>296</v>
      </c>
      <c r="G30" s="8" t="s">
        <v>181</v>
      </c>
      <c r="H30" s="8" t="s">
        <v>87</v>
      </c>
      <c r="I30" s="8" t="s">
        <v>88</v>
      </c>
      <c r="J30" s="8" t="s">
        <v>89</v>
      </c>
      <c r="K30" s="8" t="s">
        <v>91</v>
      </c>
      <c r="L30" s="8" t="s">
        <v>293</v>
      </c>
      <c r="M30" s="8" t="s">
        <v>182</v>
      </c>
      <c r="N30" s="3" t="s">
        <v>29</v>
      </c>
      <c r="O30" s="3" t="s">
        <v>238</v>
      </c>
      <c r="P30" s="3" t="s">
        <v>28</v>
      </c>
      <c r="Q30" s="3" t="s">
        <v>30</v>
      </c>
      <c r="R30" s="10" t="s">
        <v>108</v>
      </c>
      <c r="S30" s="2" t="s">
        <v>174</v>
      </c>
      <c r="T30" s="2" t="s">
        <v>175</v>
      </c>
      <c r="U30" s="2" t="s">
        <v>176</v>
      </c>
    </row>
    <row r="31" spans="1:21" s="106" customFormat="1" ht="15.75">
      <c r="A31" s="19" t="s">
        <v>145</v>
      </c>
      <c r="B31" s="34" t="s">
        <v>19</v>
      </c>
      <c r="C31" s="250">
        <v>412</v>
      </c>
      <c r="D31" s="34">
        <v>381</v>
      </c>
      <c r="E31" s="34"/>
      <c r="F31" s="34"/>
      <c r="G31" s="34"/>
      <c r="H31" s="34">
        <v>404</v>
      </c>
      <c r="I31" s="250">
        <v>424</v>
      </c>
      <c r="J31" s="34"/>
      <c r="K31" s="250">
        <v>412</v>
      </c>
      <c r="L31" s="34">
        <v>374</v>
      </c>
      <c r="M31" s="34"/>
      <c r="N31" s="105">
        <f aca="true" t="shared" si="1" ref="N31:N47">SUM(C31:M31)</f>
        <v>2407</v>
      </c>
      <c r="O31" s="103">
        <v>3</v>
      </c>
      <c r="P31" s="103">
        <v>5</v>
      </c>
      <c r="Q31" s="103">
        <v>-74</v>
      </c>
      <c r="R31" s="103">
        <v>0</v>
      </c>
      <c r="U31" s="106">
        <v>1</v>
      </c>
    </row>
    <row r="32" spans="1:21" s="231" customFormat="1" ht="15.75">
      <c r="A32" s="25" t="s">
        <v>146</v>
      </c>
      <c r="B32" s="47" t="s">
        <v>18</v>
      </c>
      <c r="C32" s="47">
        <v>436</v>
      </c>
      <c r="D32" s="35">
        <v>322</v>
      </c>
      <c r="E32" s="35">
        <v>371</v>
      </c>
      <c r="F32" s="35"/>
      <c r="G32" s="35"/>
      <c r="H32" s="202">
        <v>444</v>
      </c>
      <c r="I32" s="202">
        <v>447</v>
      </c>
      <c r="J32" s="35"/>
      <c r="K32" s="35">
        <v>432</v>
      </c>
      <c r="L32" s="35"/>
      <c r="M32" s="35"/>
      <c r="N32" s="200">
        <f t="shared" si="1"/>
        <v>2452</v>
      </c>
      <c r="O32" s="193">
        <v>2</v>
      </c>
      <c r="P32" s="193">
        <v>6</v>
      </c>
      <c r="Q32" s="193">
        <v>-157</v>
      </c>
      <c r="R32" s="193">
        <v>0</v>
      </c>
      <c r="U32" s="231">
        <v>1</v>
      </c>
    </row>
    <row r="33" spans="1:21" s="23" customFormat="1" ht="15.75">
      <c r="A33" s="204" t="s">
        <v>147</v>
      </c>
      <c r="B33" s="207" t="s">
        <v>17</v>
      </c>
      <c r="C33" s="250">
        <v>447</v>
      </c>
      <c r="D33" s="34">
        <v>355</v>
      </c>
      <c r="E33" s="34"/>
      <c r="F33" s="34"/>
      <c r="G33" s="34"/>
      <c r="H33" s="250">
        <v>427</v>
      </c>
      <c r="I33" s="250">
        <v>436</v>
      </c>
      <c r="J33" s="34">
        <v>157</v>
      </c>
      <c r="K33" s="34"/>
      <c r="L33" s="34">
        <v>353</v>
      </c>
      <c r="M33" s="34">
        <v>201</v>
      </c>
      <c r="N33" s="58">
        <f t="shared" si="1"/>
        <v>2376</v>
      </c>
      <c r="O33" s="19">
        <v>3</v>
      </c>
      <c r="P33" s="19">
        <v>5</v>
      </c>
      <c r="Q33" s="19">
        <v>-218</v>
      </c>
      <c r="R33" s="19">
        <v>0</v>
      </c>
      <c r="U33" s="23">
        <v>1</v>
      </c>
    </row>
    <row r="34" spans="1:19" s="231" customFormat="1" ht="15.75">
      <c r="A34" s="25" t="s">
        <v>148</v>
      </c>
      <c r="B34" s="47" t="s">
        <v>193</v>
      </c>
      <c r="C34" s="202">
        <v>436</v>
      </c>
      <c r="D34" s="35">
        <v>373</v>
      </c>
      <c r="E34" s="35"/>
      <c r="F34" s="35"/>
      <c r="G34" s="35"/>
      <c r="H34" s="202">
        <v>409</v>
      </c>
      <c r="I34" s="202">
        <v>434</v>
      </c>
      <c r="J34" s="35"/>
      <c r="K34" s="35">
        <v>392</v>
      </c>
      <c r="L34" s="35">
        <v>386</v>
      </c>
      <c r="M34" s="35"/>
      <c r="N34" s="200">
        <f t="shared" si="1"/>
        <v>2430</v>
      </c>
      <c r="O34" s="193">
        <v>5</v>
      </c>
      <c r="P34" s="193">
        <v>3</v>
      </c>
      <c r="Q34" s="193">
        <v>11</v>
      </c>
      <c r="R34" s="193">
        <v>2</v>
      </c>
      <c r="S34" s="231">
        <v>1</v>
      </c>
    </row>
    <row r="35" spans="1:21" s="211" customFormat="1" ht="15.75">
      <c r="A35" s="83" t="s">
        <v>149</v>
      </c>
      <c r="B35" s="96" t="s">
        <v>241</v>
      </c>
      <c r="C35" s="250">
        <v>436</v>
      </c>
      <c r="D35" s="34">
        <v>367</v>
      </c>
      <c r="E35" s="34"/>
      <c r="F35" s="34"/>
      <c r="G35" s="34"/>
      <c r="H35" s="34">
        <v>402</v>
      </c>
      <c r="I35" s="250">
        <v>451</v>
      </c>
      <c r="J35" s="34"/>
      <c r="K35" s="34">
        <v>402</v>
      </c>
      <c r="L35" s="34">
        <v>412</v>
      </c>
      <c r="M35" s="34"/>
      <c r="N35" s="366">
        <f t="shared" si="1"/>
        <v>2470</v>
      </c>
      <c r="O35" s="204">
        <v>2</v>
      </c>
      <c r="P35" s="204">
        <v>6</v>
      </c>
      <c r="Q35" s="204">
        <v>-162</v>
      </c>
      <c r="R35" s="204">
        <v>0</v>
      </c>
      <c r="U35" s="211">
        <v>1</v>
      </c>
    </row>
    <row r="36" spans="1:18" s="148" customFormat="1" ht="15.75">
      <c r="A36" s="145" t="s">
        <v>150</v>
      </c>
      <c r="B36" s="146" t="s">
        <v>234</v>
      </c>
      <c r="C36" s="176"/>
      <c r="D36" s="173"/>
      <c r="E36" s="173"/>
      <c r="F36" s="173"/>
      <c r="G36" s="173"/>
      <c r="H36" s="173"/>
      <c r="I36" s="173"/>
      <c r="J36" s="173"/>
      <c r="K36" s="173"/>
      <c r="L36" s="173"/>
      <c r="M36" s="174"/>
      <c r="N36" s="367" t="s">
        <v>234</v>
      </c>
      <c r="O36" s="368"/>
      <c r="P36" s="368"/>
      <c r="Q36" s="368"/>
      <c r="R36" s="368"/>
    </row>
    <row r="37" spans="1:21" s="106" customFormat="1" ht="15.75">
      <c r="A37" s="19" t="s">
        <v>151</v>
      </c>
      <c r="B37" s="34" t="s">
        <v>242</v>
      </c>
      <c r="C37" s="250">
        <v>434</v>
      </c>
      <c r="D37" s="34">
        <v>402</v>
      </c>
      <c r="E37" s="34"/>
      <c r="F37" s="34"/>
      <c r="G37" s="34"/>
      <c r="H37" s="34">
        <v>429</v>
      </c>
      <c r="I37" s="250">
        <v>438</v>
      </c>
      <c r="J37" s="34"/>
      <c r="K37" s="250">
        <v>438</v>
      </c>
      <c r="L37" s="34">
        <v>398</v>
      </c>
      <c r="M37" s="34"/>
      <c r="N37" s="105">
        <f t="shared" si="1"/>
        <v>2539</v>
      </c>
      <c r="O37" s="103">
        <v>3</v>
      </c>
      <c r="P37" s="103">
        <v>5</v>
      </c>
      <c r="Q37" s="103">
        <v>-30</v>
      </c>
      <c r="R37" s="103">
        <v>0</v>
      </c>
      <c r="U37" s="106">
        <v>1</v>
      </c>
    </row>
    <row r="38" spans="1:21" s="231" customFormat="1" ht="15.75">
      <c r="A38" s="25" t="s">
        <v>152</v>
      </c>
      <c r="B38" s="47" t="s">
        <v>194</v>
      </c>
      <c r="C38" s="202">
        <v>454</v>
      </c>
      <c r="D38" s="35">
        <v>372</v>
      </c>
      <c r="E38" s="35"/>
      <c r="F38" s="35"/>
      <c r="G38" s="35"/>
      <c r="H38" s="202">
        <v>446</v>
      </c>
      <c r="I38" s="202">
        <v>436</v>
      </c>
      <c r="J38" s="35">
        <v>364</v>
      </c>
      <c r="K38" s="35">
        <v>435</v>
      </c>
      <c r="L38" s="35"/>
      <c r="M38" s="35"/>
      <c r="N38" s="200">
        <f t="shared" si="1"/>
        <v>2507</v>
      </c>
      <c r="O38" s="225">
        <v>3</v>
      </c>
      <c r="P38" s="225">
        <v>5</v>
      </c>
      <c r="Q38" s="225">
        <v>-102</v>
      </c>
      <c r="R38" s="225">
        <v>0</v>
      </c>
      <c r="U38" s="231">
        <v>1</v>
      </c>
    </row>
    <row r="39" spans="1:21" s="85" customFormat="1" ht="15.75">
      <c r="A39" s="204" t="s">
        <v>153</v>
      </c>
      <c r="B39" s="206" t="s">
        <v>25</v>
      </c>
      <c r="C39" s="250">
        <v>447</v>
      </c>
      <c r="D39" s="250">
        <v>445</v>
      </c>
      <c r="E39" s="34"/>
      <c r="F39" s="34"/>
      <c r="G39" s="34"/>
      <c r="H39" s="34">
        <v>419</v>
      </c>
      <c r="I39" s="34">
        <v>413</v>
      </c>
      <c r="J39" s="34">
        <v>349</v>
      </c>
      <c r="K39" s="250">
        <v>460</v>
      </c>
      <c r="L39" s="34"/>
      <c r="M39" s="34"/>
      <c r="N39" s="58">
        <f t="shared" si="1"/>
        <v>2533</v>
      </c>
      <c r="O39" s="102">
        <v>3</v>
      </c>
      <c r="P39" s="102">
        <v>5</v>
      </c>
      <c r="Q39" s="102">
        <v>-119</v>
      </c>
      <c r="R39" s="102">
        <v>0</v>
      </c>
      <c r="U39" s="85">
        <v>1</v>
      </c>
    </row>
    <row r="40" spans="1:21" s="211" customFormat="1" ht="15.75">
      <c r="A40" s="103" t="s">
        <v>154</v>
      </c>
      <c r="B40" s="108" t="s">
        <v>15</v>
      </c>
      <c r="C40" s="102">
        <v>428</v>
      </c>
      <c r="D40" s="34">
        <v>356</v>
      </c>
      <c r="E40" s="34"/>
      <c r="F40" s="34"/>
      <c r="G40" s="34"/>
      <c r="H40" s="250">
        <v>432</v>
      </c>
      <c r="I40" s="34">
        <v>429</v>
      </c>
      <c r="J40" s="34"/>
      <c r="K40" s="250">
        <v>438</v>
      </c>
      <c r="L40" s="250">
        <v>453</v>
      </c>
      <c r="M40" s="34"/>
      <c r="N40" s="366">
        <f t="shared" si="1"/>
        <v>2536</v>
      </c>
      <c r="O40" s="206">
        <v>3</v>
      </c>
      <c r="P40" s="206">
        <v>5</v>
      </c>
      <c r="Q40" s="206">
        <v>-74</v>
      </c>
      <c r="R40" s="206">
        <v>0</v>
      </c>
      <c r="U40" s="211">
        <v>1</v>
      </c>
    </row>
    <row r="41" spans="1:21" s="231" customFormat="1" ht="15.75">
      <c r="A41" s="25" t="s">
        <v>155</v>
      </c>
      <c r="B41" s="35" t="s">
        <v>21</v>
      </c>
      <c r="C41" s="202">
        <v>410</v>
      </c>
      <c r="D41" s="35">
        <v>363</v>
      </c>
      <c r="E41" s="35"/>
      <c r="F41" s="35"/>
      <c r="G41" s="35"/>
      <c r="H41" s="35">
        <v>387</v>
      </c>
      <c r="I41" s="202">
        <v>413</v>
      </c>
      <c r="J41" s="35"/>
      <c r="K41" s="35">
        <v>405</v>
      </c>
      <c r="L41" s="35">
        <v>375</v>
      </c>
      <c r="M41" s="35"/>
      <c r="N41" s="200">
        <f t="shared" si="1"/>
        <v>2353</v>
      </c>
      <c r="O41" s="193">
        <v>2</v>
      </c>
      <c r="P41" s="193">
        <v>6</v>
      </c>
      <c r="Q41" s="193">
        <v>-148</v>
      </c>
      <c r="R41" s="193">
        <v>0</v>
      </c>
      <c r="U41" s="231">
        <v>1</v>
      </c>
    </row>
    <row r="42" spans="1:21" s="106" customFormat="1" ht="15.75">
      <c r="A42" s="19" t="s">
        <v>156</v>
      </c>
      <c r="B42" s="34" t="s">
        <v>20</v>
      </c>
      <c r="C42" s="102">
        <v>403</v>
      </c>
      <c r="D42" s="34">
        <v>393</v>
      </c>
      <c r="E42" s="34"/>
      <c r="F42" s="34"/>
      <c r="G42" s="34"/>
      <c r="H42" s="250">
        <v>452</v>
      </c>
      <c r="I42" s="250">
        <v>446</v>
      </c>
      <c r="J42" s="34"/>
      <c r="K42" s="34">
        <v>433</v>
      </c>
      <c r="L42" s="34">
        <v>383</v>
      </c>
      <c r="M42" s="34"/>
      <c r="N42" s="105">
        <f t="shared" si="1"/>
        <v>2510</v>
      </c>
      <c r="O42" s="103">
        <v>2</v>
      </c>
      <c r="P42" s="103">
        <v>6</v>
      </c>
      <c r="Q42" s="103">
        <v>-124</v>
      </c>
      <c r="R42" s="103">
        <v>0</v>
      </c>
      <c r="U42" s="106">
        <v>1</v>
      </c>
    </row>
    <row r="43" spans="1:21" s="231" customFormat="1" ht="15.75">
      <c r="A43" s="25" t="s">
        <v>157</v>
      </c>
      <c r="B43" s="47" t="s">
        <v>22</v>
      </c>
      <c r="C43" s="202">
        <v>455</v>
      </c>
      <c r="D43" s="35">
        <v>415</v>
      </c>
      <c r="E43" s="35">
        <v>169</v>
      </c>
      <c r="F43" s="35"/>
      <c r="G43" s="35"/>
      <c r="H43" s="202">
        <v>443</v>
      </c>
      <c r="I43" s="35">
        <v>422</v>
      </c>
      <c r="J43" s="35">
        <v>187</v>
      </c>
      <c r="K43" s="35"/>
      <c r="L43" s="35">
        <v>420</v>
      </c>
      <c r="M43" s="35"/>
      <c r="N43" s="200">
        <f t="shared" si="1"/>
        <v>2511</v>
      </c>
      <c r="O43" s="193">
        <v>2</v>
      </c>
      <c r="P43" s="193">
        <v>6</v>
      </c>
      <c r="Q43" s="193">
        <v>-142</v>
      </c>
      <c r="R43" s="193">
        <v>0</v>
      </c>
      <c r="U43" s="231">
        <v>1</v>
      </c>
    </row>
    <row r="44" spans="1:19" s="23" customFormat="1" ht="15.75">
      <c r="A44" s="204" t="s">
        <v>243</v>
      </c>
      <c r="B44" s="205" t="s">
        <v>195</v>
      </c>
      <c r="C44" s="250">
        <v>476</v>
      </c>
      <c r="D44" s="34"/>
      <c r="E44" s="34"/>
      <c r="F44" s="34"/>
      <c r="G44" s="34"/>
      <c r="H44" s="34">
        <v>427</v>
      </c>
      <c r="I44" s="250">
        <v>451</v>
      </c>
      <c r="J44" s="34">
        <v>371</v>
      </c>
      <c r="K44" s="250">
        <v>436</v>
      </c>
      <c r="L44" s="34">
        <v>406</v>
      </c>
      <c r="M44" s="34"/>
      <c r="N44" s="58">
        <f t="shared" si="1"/>
        <v>2567</v>
      </c>
      <c r="O44" s="19">
        <v>5</v>
      </c>
      <c r="P44" s="19">
        <v>3</v>
      </c>
      <c r="Q44" s="19">
        <v>2</v>
      </c>
      <c r="R44" s="19">
        <v>2</v>
      </c>
      <c r="S44" s="23">
        <v>1</v>
      </c>
    </row>
    <row r="45" spans="1:21" s="231" customFormat="1" ht="15.75">
      <c r="A45" s="25" t="s">
        <v>244</v>
      </c>
      <c r="B45" s="35" t="s">
        <v>196</v>
      </c>
      <c r="C45" s="434">
        <v>423</v>
      </c>
      <c r="D45" s="35">
        <v>369</v>
      </c>
      <c r="E45" s="35"/>
      <c r="F45" s="35"/>
      <c r="G45" s="35"/>
      <c r="H45" s="202">
        <v>399</v>
      </c>
      <c r="I45" s="35">
        <v>380</v>
      </c>
      <c r="J45" s="35"/>
      <c r="K45" s="35">
        <v>380</v>
      </c>
      <c r="L45" s="35">
        <v>341</v>
      </c>
      <c r="M45" s="35"/>
      <c r="N45" s="200">
        <f t="shared" si="1"/>
        <v>2292</v>
      </c>
      <c r="O45" s="193">
        <v>2</v>
      </c>
      <c r="P45" s="193">
        <v>6</v>
      </c>
      <c r="Q45" s="193">
        <f>N45-2394</f>
        <v>-102</v>
      </c>
      <c r="R45" s="193">
        <v>0</v>
      </c>
      <c r="U45" s="231">
        <v>1</v>
      </c>
    </row>
    <row r="46" spans="1:21" s="211" customFormat="1" ht="15.75">
      <c r="A46" s="83" t="s">
        <v>266</v>
      </c>
      <c r="B46" s="95" t="s">
        <v>192</v>
      </c>
      <c r="C46" s="435">
        <v>475</v>
      </c>
      <c r="D46" s="34">
        <v>393</v>
      </c>
      <c r="E46" s="34">
        <v>374</v>
      </c>
      <c r="F46" s="34">
        <v>155</v>
      </c>
      <c r="G46" s="34"/>
      <c r="H46" s="34">
        <v>397</v>
      </c>
      <c r="I46" s="435">
        <v>453</v>
      </c>
      <c r="J46" s="34">
        <v>173</v>
      </c>
      <c r="K46" s="34"/>
      <c r="L46" s="34"/>
      <c r="M46" s="34"/>
      <c r="N46" s="366">
        <f t="shared" si="1"/>
        <v>2420</v>
      </c>
      <c r="O46" s="204">
        <v>2</v>
      </c>
      <c r="P46" s="204">
        <v>6</v>
      </c>
      <c r="Q46" s="204">
        <v>-199</v>
      </c>
      <c r="R46" s="204">
        <v>0</v>
      </c>
      <c r="U46" s="211">
        <v>1</v>
      </c>
    </row>
    <row r="47" spans="1:21" s="231" customFormat="1" ht="16.5" thickBot="1">
      <c r="A47" s="25" t="s">
        <v>267</v>
      </c>
      <c r="B47" s="35" t="s">
        <v>272</v>
      </c>
      <c r="C47" s="443">
        <v>414</v>
      </c>
      <c r="D47" s="37">
        <v>383</v>
      </c>
      <c r="E47" s="37">
        <v>317</v>
      </c>
      <c r="F47" s="37"/>
      <c r="G47" s="37"/>
      <c r="H47" s="37">
        <v>403</v>
      </c>
      <c r="I47" s="443">
        <v>452</v>
      </c>
      <c r="J47" s="37"/>
      <c r="K47" s="37"/>
      <c r="L47" s="443">
        <v>429</v>
      </c>
      <c r="M47" s="37"/>
      <c r="N47" s="200">
        <f t="shared" si="1"/>
        <v>2398</v>
      </c>
      <c r="O47" s="364">
        <v>3</v>
      </c>
      <c r="P47" s="364">
        <v>5</v>
      </c>
      <c r="Q47" s="364">
        <v>-75</v>
      </c>
      <c r="R47" s="364">
        <v>0</v>
      </c>
      <c r="S47" s="242"/>
      <c r="T47" s="242"/>
      <c r="U47" s="242">
        <v>1</v>
      </c>
    </row>
    <row r="48" spans="3:21" ht="16.5" thickTop="1">
      <c r="C48" s="7">
        <f>SUM(C31:C47)</f>
        <v>6986</v>
      </c>
      <c r="D48" s="7">
        <f aca="true" t="shared" si="2" ref="D48:L48">SUM(D31:D47)</f>
        <v>5689</v>
      </c>
      <c r="E48" s="7">
        <f>SUM(E31:E32)+SUM(E44:E47)</f>
        <v>1062</v>
      </c>
      <c r="F48" s="7"/>
      <c r="G48" s="7"/>
      <c r="H48" s="7">
        <f t="shared" si="2"/>
        <v>6720</v>
      </c>
      <c r="I48" s="7">
        <f t="shared" si="2"/>
        <v>6925</v>
      </c>
      <c r="J48" s="7">
        <f>SUM(J34:J39)+SUM(J44:J45)</f>
        <v>1084</v>
      </c>
      <c r="K48" s="7">
        <f>SUM(K31:K38)</f>
        <v>2511</v>
      </c>
      <c r="L48" s="7">
        <f t="shared" si="2"/>
        <v>4730</v>
      </c>
      <c r="M48" s="7">
        <f>SUM(M31:M32)+SUM(M34:M47)</f>
        <v>0</v>
      </c>
      <c r="O48" s="1">
        <f>SUM(O31:O47)</f>
        <v>45</v>
      </c>
      <c r="P48" s="1">
        <f>SUM(P31:P47)</f>
        <v>83</v>
      </c>
      <c r="Q48" s="1">
        <f>SUM(Q31:Q47)</f>
        <v>-1713</v>
      </c>
      <c r="R48" s="1">
        <f>SUM(R31:R47)</f>
        <v>4</v>
      </c>
      <c r="S48" s="6">
        <f>SUM(S31:S47)+S23</f>
        <v>6</v>
      </c>
      <c r="T48" s="6">
        <f>SUM(T31:T47)+T23</f>
        <v>2</v>
      </c>
      <c r="U48" s="6">
        <f>SUM(U31:U47)+U23</f>
        <v>24</v>
      </c>
    </row>
    <row r="49" spans="2:13" ht="15.75">
      <c r="B49" s="57" t="s">
        <v>231</v>
      </c>
      <c r="C49" s="1">
        <f>COUNT(C31:C47)</f>
        <v>16</v>
      </c>
      <c r="D49" s="1">
        <f aca="true" t="shared" si="3" ref="D49:L49">COUNT(D31:D47)</f>
        <v>15</v>
      </c>
      <c r="E49" s="1">
        <f>COUNT(E31:E32)+COUNT(E44:E47)</f>
        <v>3</v>
      </c>
      <c r="H49" s="1">
        <f t="shared" si="3"/>
        <v>16</v>
      </c>
      <c r="I49" s="1">
        <f t="shared" si="3"/>
        <v>16</v>
      </c>
      <c r="J49" s="1">
        <f>COUNT(J34:J39)+COUNT(J44:J45)</f>
        <v>3</v>
      </c>
      <c r="K49" s="1">
        <f>COUNT(K31:K38)</f>
        <v>6</v>
      </c>
      <c r="L49" s="1">
        <f t="shared" si="3"/>
        <v>12</v>
      </c>
      <c r="M49" s="1">
        <f>COUNT(M31:M32)+COUNT(M34:M47)</f>
        <v>0</v>
      </c>
    </row>
    <row r="50" spans="2:21" ht="31.5">
      <c r="B50" s="11" t="s">
        <v>228</v>
      </c>
      <c r="C50" s="16">
        <f>C48/C49</f>
        <v>436.625</v>
      </c>
      <c r="D50" s="16">
        <f aca="true" t="shared" si="4" ref="D50:L50">D48/D49</f>
        <v>379.26666666666665</v>
      </c>
      <c r="E50" s="16">
        <f t="shared" si="4"/>
        <v>354</v>
      </c>
      <c r="F50" s="16"/>
      <c r="G50" s="16"/>
      <c r="H50" s="16">
        <f t="shared" si="4"/>
        <v>420</v>
      </c>
      <c r="I50" s="16">
        <f t="shared" si="4"/>
        <v>432.8125</v>
      </c>
      <c r="J50" s="16">
        <f t="shared" si="4"/>
        <v>361.3333333333333</v>
      </c>
      <c r="K50" s="16">
        <f t="shared" si="4"/>
        <v>418.5</v>
      </c>
      <c r="L50" s="16">
        <f t="shared" si="4"/>
        <v>394.1666666666667</v>
      </c>
      <c r="M50" s="16"/>
      <c r="N50" s="3" t="s">
        <v>29</v>
      </c>
      <c r="O50" s="461" t="s">
        <v>109</v>
      </c>
      <c r="P50" s="461"/>
      <c r="Q50" s="3" t="s">
        <v>30</v>
      </c>
      <c r="R50" s="10" t="s">
        <v>110</v>
      </c>
      <c r="T50" s="63" t="s">
        <v>118</v>
      </c>
      <c r="U50" s="63" t="s">
        <v>209</v>
      </c>
    </row>
    <row r="51" spans="14:21" ht="15.75">
      <c r="N51" s="6">
        <f>SUM(N31:N47)+N26</f>
        <v>78902</v>
      </c>
      <c r="O51" s="6">
        <f>+O26</f>
        <v>53</v>
      </c>
      <c r="P51" s="6">
        <f>+P26</f>
        <v>75</v>
      </c>
      <c r="Q51" s="6">
        <f>+Q26</f>
        <v>-880</v>
      </c>
      <c r="R51" s="6">
        <f>+R26</f>
        <v>10</v>
      </c>
      <c r="T51" s="2">
        <f>O51-P51</f>
        <v>-22</v>
      </c>
      <c r="U51" s="46">
        <f>SUM(S48:U48)</f>
        <v>32</v>
      </c>
    </row>
    <row r="53" spans="14:15" ht="15.75">
      <c r="N53" s="1" t="s">
        <v>120</v>
      </c>
      <c r="O53" s="18">
        <f>N51/U51</f>
        <v>2465.6875</v>
      </c>
    </row>
  </sheetData>
  <sheetProtection/>
  <mergeCells count="9">
    <mergeCell ref="E1:H1"/>
    <mergeCell ref="J1:K1"/>
    <mergeCell ref="O50:P50"/>
    <mergeCell ref="K27:L27"/>
    <mergeCell ref="C4:M4"/>
    <mergeCell ref="O4:P4"/>
    <mergeCell ref="C27:D27"/>
    <mergeCell ref="O25:P25"/>
    <mergeCell ref="H27:I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T53"/>
  <sheetViews>
    <sheetView zoomScale="90" zoomScaleNormal="90" zoomScalePageLayoutView="0" workbookViewId="0" topLeftCell="B28">
      <selection activeCell="E49" sqref="E49"/>
    </sheetView>
  </sheetViews>
  <sheetFormatPr defaultColWidth="9.00390625" defaultRowHeight="12.75"/>
  <cols>
    <col min="1" max="1" width="11.75390625" style="1" bestFit="1" customWidth="1"/>
    <col min="2" max="2" width="21.00390625" style="1" bestFit="1" customWidth="1"/>
    <col min="3" max="3" width="10.00390625" style="1" customWidth="1"/>
    <col min="4" max="4" width="11.25390625" style="1" customWidth="1"/>
    <col min="5" max="5" width="10.875" style="1" customWidth="1"/>
    <col min="6" max="6" width="8.625" style="1" customWidth="1"/>
    <col min="7" max="7" width="9.125" style="1" customWidth="1"/>
    <col min="8" max="8" width="9.75390625" style="1" customWidth="1"/>
    <col min="9" max="9" width="11.875" style="1" customWidth="1"/>
    <col min="10" max="10" width="11.625" style="1" customWidth="1"/>
    <col min="11" max="11" width="11.375" style="1" customWidth="1"/>
    <col min="12" max="12" width="12.00390625" style="1" customWidth="1"/>
    <col min="13" max="13" width="17.75390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75390625" style="1" customWidth="1"/>
    <col min="18" max="18" width="9.25390625" style="0" bestFit="1" customWidth="1"/>
    <col min="19" max="19" width="11.125" style="0" customWidth="1"/>
    <col min="20" max="20" width="10.25390625" style="0" customWidth="1"/>
  </cols>
  <sheetData>
    <row r="1" spans="1:15" ht="15.75">
      <c r="A1" s="48" t="s">
        <v>133</v>
      </c>
      <c r="B1" s="52"/>
      <c r="C1" s="53" t="s">
        <v>250</v>
      </c>
      <c r="D1" s="49" t="s">
        <v>131</v>
      </c>
      <c r="E1" s="459" t="s">
        <v>132</v>
      </c>
      <c r="F1" s="459"/>
      <c r="H1" s="455" t="s">
        <v>143</v>
      </c>
      <c r="I1" s="455"/>
      <c r="J1" s="11" t="s">
        <v>144</v>
      </c>
      <c r="K1" s="455" t="s">
        <v>118</v>
      </c>
      <c r="L1" s="455"/>
      <c r="N1" s="122" t="s">
        <v>120</v>
      </c>
      <c r="O1" s="18">
        <f>M26/T26</f>
        <v>2593.6875</v>
      </c>
    </row>
    <row r="2" spans="8:15" ht="15.75">
      <c r="H2" s="1">
        <f>N26+N48</f>
        <v>157</v>
      </c>
      <c r="I2" s="1">
        <f>O26+O48</f>
        <v>99</v>
      </c>
      <c r="J2" s="1">
        <f>Q26+Q48</f>
        <v>49</v>
      </c>
      <c r="K2" s="460">
        <f>H2-I2</f>
        <v>58</v>
      </c>
      <c r="L2" s="460"/>
      <c r="N2" s="122" t="s">
        <v>216</v>
      </c>
      <c r="O2" s="6">
        <f>M7+M9+M11+M14+M16+M18+M20+M22+M32+M34+M36+M38+M42+M44+M46+M47</f>
        <v>41444</v>
      </c>
    </row>
    <row r="4" spans="3:20" ht="15.75">
      <c r="C4" s="461" t="s">
        <v>26</v>
      </c>
      <c r="D4" s="461"/>
      <c r="E4" s="461"/>
      <c r="F4" s="461"/>
      <c r="G4" s="461"/>
      <c r="H4" s="461"/>
      <c r="I4" s="461"/>
      <c r="J4" s="461"/>
      <c r="K4" s="461"/>
      <c r="L4" s="461"/>
      <c r="N4" s="461" t="s">
        <v>27</v>
      </c>
      <c r="O4" s="461"/>
      <c r="R4" s="2"/>
      <c r="S4" s="2"/>
      <c r="T4" s="2"/>
    </row>
    <row r="5" spans="2:20" ht="32.25" thickBot="1">
      <c r="B5" s="3" t="s">
        <v>24</v>
      </c>
      <c r="C5" s="8" t="s">
        <v>67</v>
      </c>
      <c r="D5" s="8" t="s">
        <v>68</v>
      </c>
      <c r="E5" s="120" t="s">
        <v>69</v>
      </c>
      <c r="F5" s="120" t="s">
        <v>70</v>
      </c>
      <c r="G5" s="120" t="s">
        <v>71</v>
      </c>
      <c r="H5" s="120" t="s">
        <v>94</v>
      </c>
      <c r="I5" s="120" t="s">
        <v>95</v>
      </c>
      <c r="J5" s="120" t="s">
        <v>40</v>
      </c>
      <c r="K5" s="8" t="s">
        <v>205</v>
      </c>
      <c r="L5" s="8" t="s">
        <v>123</v>
      </c>
      <c r="M5" s="3" t="s">
        <v>29</v>
      </c>
      <c r="N5" s="3" t="s">
        <v>22</v>
      </c>
      <c r="O5" s="3" t="s">
        <v>28</v>
      </c>
      <c r="P5" s="3" t="s">
        <v>30</v>
      </c>
      <c r="Q5" s="10" t="s">
        <v>108</v>
      </c>
      <c r="R5" s="2" t="s">
        <v>174</v>
      </c>
      <c r="S5" s="2" t="s">
        <v>175</v>
      </c>
      <c r="T5" s="2" t="s">
        <v>176</v>
      </c>
    </row>
    <row r="6" spans="1:20" s="148" customFormat="1" ht="15.75">
      <c r="A6" s="146" t="s">
        <v>0</v>
      </c>
      <c r="B6" s="149" t="s">
        <v>234</v>
      </c>
      <c r="C6" s="173"/>
      <c r="D6" s="173"/>
      <c r="E6" s="173"/>
      <c r="F6" s="173"/>
      <c r="G6" s="173"/>
      <c r="H6" s="173"/>
      <c r="I6" s="173"/>
      <c r="J6" s="173"/>
      <c r="K6" s="173"/>
      <c r="L6" s="174"/>
      <c r="M6" s="188" t="s">
        <v>234</v>
      </c>
      <c r="N6" s="189"/>
      <c r="O6" s="189"/>
      <c r="P6" s="190"/>
      <c r="Q6" s="189"/>
      <c r="R6" s="191"/>
      <c r="S6" s="191"/>
      <c r="T6" s="191"/>
    </row>
    <row r="7" spans="1:20" s="91" customFormat="1" ht="15.75">
      <c r="A7" s="47" t="s">
        <v>1</v>
      </c>
      <c r="B7" s="35" t="s">
        <v>242</v>
      </c>
      <c r="C7" s="202">
        <v>461</v>
      </c>
      <c r="D7" s="35">
        <v>428</v>
      </c>
      <c r="E7" s="35">
        <v>418</v>
      </c>
      <c r="F7" s="202">
        <v>438</v>
      </c>
      <c r="G7" s="202">
        <v>438</v>
      </c>
      <c r="H7" s="202">
        <v>444</v>
      </c>
      <c r="I7" s="35"/>
      <c r="J7" s="35"/>
      <c r="K7" s="35"/>
      <c r="L7" s="33"/>
      <c r="M7" s="86">
        <f>SUM(C7:L7)</f>
        <v>2627</v>
      </c>
      <c r="N7" s="87">
        <v>6</v>
      </c>
      <c r="O7" s="87">
        <v>2</v>
      </c>
      <c r="P7" s="86">
        <f>M7-2496</f>
        <v>131</v>
      </c>
      <c r="Q7" s="87">
        <v>2</v>
      </c>
      <c r="R7" s="90">
        <v>1</v>
      </c>
      <c r="S7" s="90"/>
      <c r="T7" s="90"/>
    </row>
    <row r="8" spans="1:20" s="102" customFormat="1" ht="15.75">
      <c r="A8" s="102" t="s">
        <v>2</v>
      </c>
      <c r="B8" s="102" t="s">
        <v>194</v>
      </c>
      <c r="C8" s="102">
        <v>408</v>
      </c>
      <c r="D8" s="34"/>
      <c r="E8" s="34"/>
      <c r="F8" s="34">
        <v>417</v>
      </c>
      <c r="G8" s="34">
        <v>421</v>
      </c>
      <c r="H8" s="34">
        <v>419</v>
      </c>
      <c r="I8" s="34"/>
      <c r="J8" s="250">
        <v>459</v>
      </c>
      <c r="K8" s="34"/>
      <c r="L8" s="275">
        <v>448</v>
      </c>
      <c r="M8" s="168">
        <f>SUM(B8:L8)</f>
        <v>2572</v>
      </c>
      <c r="N8" s="102">
        <v>2</v>
      </c>
      <c r="O8" s="102">
        <v>6</v>
      </c>
      <c r="P8" s="102">
        <v>-44</v>
      </c>
      <c r="Q8" s="102">
        <v>0</v>
      </c>
      <c r="T8" s="102">
        <v>1</v>
      </c>
    </row>
    <row r="9" spans="1:18" s="47" customFormat="1" ht="15.75">
      <c r="A9" s="47" t="s">
        <v>3</v>
      </c>
      <c r="B9" s="39" t="s">
        <v>238</v>
      </c>
      <c r="D9" s="202">
        <v>432</v>
      </c>
      <c r="E9" s="35">
        <v>395</v>
      </c>
      <c r="F9" s="202">
        <v>422</v>
      </c>
      <c r="G9" s="35"/>
      <c r="H9" s="35">
        <v>403</v>
      </c>
      <c r="I9" s="35"/>
      <c r="J9" s="202">
        <v>428</v>
      </c>
      <c r="K9" s="202">
        <v>458</v>
      </c>
      <c r="L9" s="33"/>
      <c r="M9" s="245">
        <f>SUM(B9:L9)</f>
        <v>2538</v>
      </c>
      <c r="N9" s="47">
        <v>6</v>
      </c>
      <c r="O9" s="47">
        <v>2</v>
      </c>
      <c r="P9" s="245">
        <v>96</v>
      </c>
      <c r="Q9" s="47">
        <v>2</v>
      </c>
      <c r="R9" s="47">
        <v>1</v>
      </c>
    </row>
    <row r="10" spans="1:18" s="102" customFormat="1" ht="15.75">
      <c r="A10" s="102" t="s">
        <v>4</v>
      </c>
      <c r="B10" s="102" t="s">
        <v>15</v>
      </c>
      <c r="C10" s="250">
        <v>467</v>
      </c>
      <c r="D10" s="250">
        <v>431</v>
      </c>
      <c r="E10" s="34"/>
      <c r="F10" s="250">
        <v>429</v>
      </c>
      <c r="G10" s="34">
        <v>427</v>
      </c>
      <c r="H10" s="34"/>
      <c r="I10" s="34"/>
      <c r="J10" s="250">
        <v>475</v>
      </c>
      <c r="K10" s="34">
        <v>428</v>
      </c>
      <c r="L10" s="30"/>
      <c r="M10" s="168">
        <f aca="true" t="shared" si="0" ref="M10:M16">SUM(C10:L10)</f>
        <v>2657</v>
      </c>
      <c r="N10" s="102">
        <v>6</v>
      </c>
      <c r="O10" s="102">
        <v>2</v>
      </c>
      <c r="P10" s="168">
        <v>117</v>
      </c>
      <c r="Q10" s="102">
        <v>2</v>
      </c>
      <c r="R10" s="102">
        <v>1</v>
      </c>
    </row>
    <row r="11" spans="1:18" s="47" customFormat="1" ht="15.75">
      <c r="A11" s="47" t="s">
        <v>5</v>
      </c>
      <c r="B11" s="35" t="s">
        <v>21</v>
      </c>
      <c r="C11" s="202">
        <v>454</v>
      </c>
      <c r="D11" s="202">
        <v>431</v>
      </c>
      <c r="E11" s="35">
        <v>406</v>
      </c>
      <c r="F11" s="202">
        <v>441</v>
      </c>
      <c r="G11" s="35"/>
      <c r="H11" s="35">
        <v>412</v>
      </c>
      <c r="I11" s="35">
        <v>408</v>
      </c>
      <c r="J11" s="35"/>
      <c r="K11" s="35"/>
      <c r="L11" s="33"/>
      <c r="M11" s="245">
        <f t="shared" si="0"/>
        <v>2552</v>
      </c>
      <c r="N11" s="47">
        <v>5</v>
      </c>
      <c r="O11" s="47">
        <v>3</v>
      </c>
      <c r="P11" s="47">
        <v>124</v>
      </c>
      <c r="Q11" s="47">
        <v>2</v>
      </c>
      <c r="R11" s="47">
        <v>1</v>
      </c>
    </row>
    <row r="12" spans="1:18" s="102" customFormat="1" ht="15.75">
      <c r="A12" s="102" t="s">
        <v>6</v>
      </c>
      <c r="B12" s="34" t="s">
        <v>20</v>
      </c>
      <c r="D12" s="34">
        <v>417</v>
      </c>
      <c r="E12" s="36"/>
      <c r="F12" s="36"/>
      <c r="G12" s="36">
        <v>407</v>
      </c>
      <c r="H12" s="342">
        <v>446</v>
      </c>
      <c r="I12" s="36"/>
      <c r="J12" s="36">
        <v>411</v>
      </c>
      <c r="K12" s="261">
        <v>481</v>
      </c>
      <c r="L12" s="275">
        <v>443</v>
      </c>
      <c r="M12" s="168">
        <f t="shared" si="0"/>
        <v>2605</v>
      </c>
      <c r="N12" s="102">
        <v>5</v>
      </c>
      <c r="O12" s="102">
        <v>3</v>
      </c>
      <c r="P12" s="168">
        <v>33</v>
      </c>
      <c r="Q12" s="102">
        <v>2</v>
      </c>
      <c r="R12" s="102">
        <v>1</v>
      </c>
    </row>
    <row r="13" spans="1:18" s="102" customFormat="1" ht="15.75">
      <c r="A13" s="102" t="s">
        <v>7</v>
      </c>
      <c r="B13" s="102" t="s">
        <v>25</v>
      </c>
      <c r="C13" s="250">
        <v>471</v>
      </c>
      <c r="D13" s="34">
        <v>432</v>
      </c>
      <c r="E13" s="34"/>
      <c r="F13" s="34">
        <v>419</v>
      </c>
      <c r="G13" s="34"/>
      <c r="H13" s="34"/>
      <c r="I13" s="34"/>
      <c r="J13" s="34">
        <v>434</v>
      </c>
      <c r="K13" s="250">
        <v>479</v>
      </c>
      <c r="L13" s="275">
        <v>439</v>
      </c>
      <c r="M13" s="168">
        <f t="shared" si="0"/>
        <v>2674</v>
      </c>
      <c r="N13" s="102">
        <v>5</v>
      </c>
      <c r="O13" s="102">
        <v>3</v>
      </c>
      <c r="P13" s="168">
        <v>69</v>
      </c>
      <c r="Q13" s="102">
        <v>2</v>
      </c>
      <c r="R13" s="102">
        <v>1</v>
      </c>
    </row>
    <row r="14" spans="1:18" s="47" customFormat="1" ht="15.75">
      <c r="A14" s="47" t="s">
        <v>8</v>
      </c>
      <c r="B14" s="35" t="s">
        <v>195</v>
      </c>
      <c r="C14" s="47">
        <v>405</v>
      </c>
      <c r="D14" s="202">
        <v>432</v>
      </c>
      <c r="E14" s="35"/>
      <c r="F14" s="35">
        <v>417</v>
      </c>
      <c r="G14" s="202">
        <v>450</v>
      </c>
      <c r="H14" s="35"/>
      <c r="I14" s="35"/>
      <c r="J14" s="35">
        <v>426</v>
      </c>
      <c r="K14" s="35"/>
      <c r="L14" s="326">
        <v>479</v>
      </c>
      <c r="M14" s="245">
        <f t="shared" si="0"/>
        <v>2609</v>
      </c>
      <c r="N14" s="47">
        <v>5</v>
      </c>
      <c r="O14" s="47">
        <v>3</v>
      </c>
      <c r="P14" s="47">
        <v>13</v>
      </c>
      <c r="Q14" s="47">
        <v>2</v>
      </c>
      <c r="R14" s="47">
        <v>1</v>
      </c>
    </row>
    <row r="15" spans="1:19" s="102" customFormat="1" ht="15.75">
      <c r="A15" s="102" t="s">
        <v>9</v>
      </c>
      <c r="B15" s="34" t="s">
        <v>196</v>
      </c>
      <c r="D15" s="250">
        <v>423</v>
      </c>
      <c r="E15" s="34"/>
      <c r="F15" s="34"/>
      <c r="G15" s="34"/>
      <c r="H15" s="34">
        <v>420</v>
      </c>
      <c r="I15" s="34">
        <v>361</v>
      </c>
      <c r="J15" s="250">
        <v>432</v>
      </c>
      <c r="K15" s="261">
        <v>450</v>
      </c>
      <c r="L15" s="275">
        <v>428</v>
      </c>
      <c r="M15" s="168">
        <f t="shared" si="0"/>
        <v>2514</v>
      </c>
      <c r="N15" s="102">
        <v>4</v>
      </c>
      <c r="O15" s="102">
        <v>4</v>
      </c>
      <c r="P15" s="168">
        <v>-40</v>
      </c>
      <c r="Q15" s="102">
        <v>1</v>
      </c>
      <c r="S15" s="102">
        <v>1</v>
      </c>
    </row>
    <row r="16" spans="1:20" s="47" customFormat="1" ht="15.75">
      <c r="A16" s="47" t="s">
        <v>10</v>
      </c>
      <c r="B16" s="35" t="s">
        <v>192</v>
      </c>
      <c r="C16" s="202">
        <v>456</v>
      </c>
      <c r="D16" s="35">
        <v>381</v>
      </c>
      <c r="E16" s="35"/>
      <c r="F16" s="35">
        <v>416</v>
      </c>
      <c r="G16" s="35"/>
      <c r="H16" s="202">
        <v>456</v>
      </c>
      <c r="I16" s="35"/>
      <c r="J16" s="202">
        <v>452</v>
      </c>
      <c r="K16" s="35"/>
      <c r="L16" s="33">
        <v>434</v>
      </c>
      <c r="M16" s="245">
        <f t="shared" si="0"/>
        <v>2595</v>
      </c>
      <c r="N16" s="47">
        <v>3</v>
      </c>
      <c r="O16" s="47">
        <v>5</v>
      </c>
      <c r="P16" s="47">
        <v>-86</v>
      </c>
      <c r="Q16" s="47">
        <v>0</v>
      </c>
      <c r="T16" s="47">
        <v>1</v>
      </c>
    </row>
    <row r="17" spans="1:18" s="102" customFormat="1" ht="15.75">
      <c r="A17" s="102" t="s">
        <v>11</v>
      </c>
      <c r="B17" s="34" t="s">
        <v>272</v>
      </c>
      <c r="C17" s="250">
        <v>448</v>
      </c>
      <c r="D17" s="102">
        <v>373</v>
      </c>
      <c r="F17" s="250">
        <v>435</v>
      </c>
      <c r="H17" s="102">
        <v>415</v>
      </c>
      <c r="J17" s="250">
        <v>468</v>
      </c>
      <c r="K17" s="250">
        <v>482</v>
      </c>
      <c r="L17" s="325"/>
      <c r="M17" s="168">
        <f aca="true" t="shared" si="1" ref="M17:M22">SUM(C17:L17)</f>
        <v>2621</v>
      </c>
      <c r="N17" s="102">
        <v>6</v>
      </c>
      <c r="O17" s="102">
        <v>2</v>
      </c>
      <c r="P17" s="102">
        <v>172</v>
      </c>
      <c r="Q17" s="102">
        <v>2</v>
      </c>
      <c r="R17" s="102">
        <v>1</v>
      </c>
    </row>
    <row r="18" spans="1:18" s="47" customFormat="1" ht="15.75">
      <c r="A18" s="47" t="s">
        <v>12</v>
      </c>
      <c r="B18" s="35" t="s">
        <v>19</v>
      </c>
      <c r="C18" s="47">
        <v>422</v>
      </c>
      <c r="D18" s="35"/>
      <c r="E18" s="202">
        <v>448</v>
      </c>
      <c r="F18" s="202">
        <v>435</v>
      </c>
      <c r="G18" s="35"/>
      <c r="H18" s="35">
        <v>405</v>
      </c>
      <c r="I18" s="35"/>
      <c r="J18" s="202">
        <v>446</v>
      </c>
      <c r="K18" s="35"/>
      <c r="L18" s="326">
        <v>460</v>
      </c>
      <c r="M18" s="245">
        <f t="shared" si="1"/>
        <v>2616</v>
      </c>
      <c r="N18" s="47">
        <v>6</v>
      </c>
      <c r="O18" s="47">
        <v>2</v>
      </c>
      <c r="P18" s="245">
        <v>48</v>
      </c>
      <c r="Q18" s="47">
        <v>2</v>
      </c>
      <c r="R18" s="47">
        <v>1</v>
      </c>
    </row>
    <row r="19" spans="1:18" s="102" customFormat="1" ht="15.75">
      <c r="A19" s="102" t="s">
        <v>13</v>
      </c>
      <c r="B19" s="102" t="s">
        <v>18</v>
      </c>
      <c r="C19" s="102">
        <v>424</v>
      </c>
      <c r="D19" s="34"/>
      <c r="E19" s="250">
        <v>444</v>
      </c>
      <c r="F19" s="34">
        <v>391</v>
      </c>
      <c r="G19" s="34"/>
      <c r="H19" s="34"/>
      <c r="I19" s="34"/>
      <c r="J19" s="250">
        <v>455</v>
      </c>
      <c r="K19" s="250">
        <v>439</v>
      </c>
      <c r="L19" s="275">
        <v>454</v>
      </c>
      <c r="M19" s="168">
        <f t="shared" si="1"/>
        <v>2607</v>
      </c>
      <c r="N19" s="102">
        <v>6</v>
      </c>
      <c r="O19" s="102">
        <v>2</v>
      </c>
      <c r="P19" s="102">
        <v>94</v>
      </c>
      <c r="Q19" s="102">
        <v>2</v>
      </c>
      <c r="R19" s="102">
        <v>1</v>
      </c>
    </row>
    <row r="20" spans="1:20" s="47" customFormat="1" ht="15.75">
      <c r="A20" s="47" t="s">
        <v>14</v>
      </c>
      <c r="B20" s="47" t="s">
        <v>17</v>
      </c>
      <c r="C20" s="47">
        <v>418</v>
      </c>
      <c r="D20" s="35"/>
      <c r="E20" s="35">
        <v>431</v>
      </c>
      <c r="F20" s="35"/>
      <c r="G20" s="35">
        <v>427</v>
      </c>
      <c r="H20" s="202">
        <v>433</v>
      </c>
      <c r="I20" s="35"/>
      <c r="J20" s="202">
        <v>465</v>
      </c>
      <c r="K20" s="35"/>
      <c r="L20" s="33">
        <v>413</v>
      </c>
      <c r="M20" s="245">
        <f t="shared" si="1"/>
        <v>2587</v>
      </c>
      <c r="N20" s="47">
        <v>2</v>
      </c>
      <c r="O20" s="47">
        <v>6</v>
      </c>
      <c r="P20" s="47">
        <v>-67</v>
      </c>
      <c r="Q20" s="47">
        <v>0</v>
      </c>
      <c r="T20" s="47">
        <v>1</v>
      </c>
    </row>
    <row r="21" spans="1:18" s="102" customFormat="1" ht="15.75">
      <c r="A21" s="102" t="s">
        <v>239</v>
      </c>
      <c r="B21" s="102" t="s">
        <v>193</v>
      </c>
      <c r="C21" s="250">
        <v>425</v>
      </c>
      <c r="D21" s="250">
        <v>408</v>
      </c>
      <c r="E21" s="250">
        <v>410</v>
      </c>
      <c r="F21" s="250">
        <v>436</v>
      </c>
      <c r="G21" s="34"/>
      <c r="H21" s="250">
        <v>418</v>
      </c>
      <c r="I21" s="34"/>
      <c r="J21" s="250">
        <v>427</v>
      </c>
      <c r="K21" s="34"/>
      <c r="L21" s="30"/>
      <c r="M21" s="168">
        <f t="shared" si="1"/>
        <v>2524</v>
      </c>
      <c r="N21" s="102">
        <v>8</v>
      </c>
      <c r="O21" s="102">
        <v>0</v>
      </c>
      <c r="P21" s="102">
        <v>184</v>
      </c>
      <c r="Q21" s="102">
        <v>2</v>
      </c>
      <c r="R21" s="102">
        <v>1</v>
      </c>
    </row>
    <row r="22" spans="1:20" s="47" customFormat="1" ht="16.5" thickBot="1">
      <c r="A22" s="47" t="s">
        <v>240</v>
      </c>
      <c r="B22" s="47" t="s">
        <v>241</v>
      </c>
      <c r="C22" s="280">
        <v>424</v>
      </c>
      <c r="D22" s="37">
        <v>407</v>
      </c>
      <c r="E22" s="167">
        <v>463</v>
      </c>
      <c r="F22" s="37">
        <v>415</v>
      </c>
      <c r="G22" s="37"/>
      <c r="H22" s="37"/>
      <c r="I22" s="37"/>
      <c r="J22" s="167">
        <v>459</v>
      </c>
      <c r="K22" s="37"/>
      <c r="L22" s="31">
        <v>433</v>
      </c>
      <c r="M22" s="279">
        <f t="shared" si="1"/>
        <v>2601</v>
      </c>
      <c r="N22" s="280">
        <v>2</v>
      </c>
      <c r="O22" s="280">
        <v>6</v>
      </c>
      <c r="P22" s="279">
        <v>-37</v>
      </c>
      <c r="Q22" s="280">
        <v>0</v>
      </c>
      <c r="T22" s="47">
        <v>1</v>
      </c>
    </row>
    <row r="23" spans="3:20" ht="16.5" thickTop="1">
      <c r="C23" s="6">
        <f>SUM(C6:C22)</f>
        <v>5683</v>
      </c>
      <c r="D23" s="6">
        <f>SUM(D6:D22)</f>
        <v>4995</v>
      </c>
      <c r="E23" s="6">
        <f>SUM(E6:E22)</f>
        <v>3415</v>
      </c>
      <c r="F23" s="6">
        <f>SUM(F6:F22)</f>
        <v>5511</v>
      </c>
      <c r="G23" s="6">
        <f>SUM(G6:G22)</f>
        <v>2570</v>
      </c>
      <c r="H23" s="6">
        <f>SUM(H7:H22)</f>
        <v>4671</v>
      </c>
      <c r="I23" s="6">
        <f>SUM(I6:I22)</f>
        <v>769</v>
      </c>
      <c r="J23" s="6">
        <f>SUM(J6:J22)</f>
        <v>6237</v>
      </c>
      <c r="K23" s="6">
        <f>SUM(K6:K22)</f>
        <v>3217</v>
      </c>
      <c r="L23" s="6">
        <f>SUM(L6:L22)</f>
        <v>4431</v>
      </c>
      <c r="R23" s="68">
        <f>SUM(R6:R22)</f>
        <v>11</v>
      </c>
      <c r="S23" s="68">
        <f>SUM(S6:S22)</f>
        <v>1</v>
      </c>
      <c r="T23" s="68">
        <f>SUM(T6:T22)</f>
        <v>4</v>
      </c>
    </row>
    <row r="24" spans="2:12" ht="15.75">
      <c r="B24" s="1" t="s">
        <v>211</v>
      </c>
      <c r="C24" s="6">
        <f>COUNT(C6:C22)</f>
        <v>13</v>
      </c>
      <c r="D24" s="6">
        <f>COUNT(D6:D22)</f>
        <v>12</v>
      </c>
      <c r="E24" s="6">
        <f>COUNT(E6:E22)</f>
        <v>8</v>
      </c>
      <c r="F24" s="6">
        <f>COUNT(F6:F22)</f>
        <v>13</v>
      </c>
      <c r="G24" s="6">
        <f>COUNT(G6:G22)</f>
        <v>6</v>
      </c>
      <c r="H24" s="6">
        <f>COUNT(H7:H22)</f>
        <v>11</v>
      </c>
      <c r="I24" s="6">
        <f>COUNT(I6:I22)</f>
        <v>2</v>
      </c>
      <c r="J24" s="6">
        <f>COUNT(J6:J22)</f>
        <v>14</v>
      </c>
      <c r="K24" s="6">
        <f>COUNT(K6:K12)+COUNT(K13:K22)</f>
        <v>7</v>
      </c>
      <c r="L24" s="6">
        <f>COUNT(L6:L13)+COUNT(L14:L22)</f>
        <v>10</v>
      </c>
    </row>
    <row r="25" spans="2:20" ht="33.75" customHeight="1">
      <c r="B25" s="11" t="s">
        <v>119</v>
      </c>
      <c r="C25" s="16">
        <f aca="true" t="shared" si="2" ref="C25:I25">C23/C24</f>
        <v>437.15384615384613</v>
      </c>
      <c r="D25" s="16">
        <f t="shared" si="2"/>
        <v>416.25</v>
      </c>
      <c r="E25" s="16">
        <f t="shared" si="2"/>
        <v>426.875</v>
      </c>
      <c r="F25" s="16">
        <f t="shared" si="2"/>
        <v>423.9230769230769</v>
      </c>
      <c r="G25" s="16">
        <f t="shared" si="2"/>
        <v>428.3333333333333</v>
      </c>
      <c r="H25" s="16">
        <f t="shared" si="2"/>
        <v>424.6363636363636</v>
      </c>
      <c r="I25" s="16">
        <f t="shared" si="2"/>
        <v>384.5</v>
      </c>
      <c r="J25" s="16">
        <f>J23/J24</f>
        <v>445.5</v>
      </c>
      <c r="K25" s="16">
        <f>K23/K24</f>
        <v>459.57142857142856</v>
      </c>
      <c r="L25" s="16">
        <f>L23/L24</f>
        <v>443.1</v>
      </c>
      <c r="M25" s="3" t="s">
        <v>29</v>
      </c>
      <c r="N25" s="461" t="s">
        <v>109</v>
      </c>
      <c r="O25" s="461"/>
      <c r="P25" s="3" t="s">
        <v>30</v>
      </c>
      <c r="Q25" s="10" t="s">
        <v>110</v>
      </c>
      <c r="S25" s="63" t="s">
        <v>118</v>
      </c>
      <c r="T25" s="63" t="s">
        <v>209</v>
      </c>
    </row>
    <row r="26" spans="13:20" ht="15.75">
      <c r="M26" s="6">
        <f>SUM(M6:M22)</f>
        <v>41499</v>
      </c>
      <c r="N26" s="1">
        <f>SUM(N6:N22)</f>
        <v>77</v>
      </c>
      <c r="O26" s="1">
        <f>SUM(O6:O22)</f>
        <v>51</v>
      </c>
      <c r="P26" s="1">
        <f>SUM(P6:P22)</f>
        <v>807</v>
      </c>
      <c r="Q26" s="1">
        <f>SUM(Q6:Q22)</f>
        <v>23</v>
      </c>
      <c r="S26" s="2">
        <f>N26-O26</f>
        <v>26</v>
      </c>
      <c r="T26" s="2">
        <f>SUM(R23:T23)</f>
        <v>16</v>
      </c>
    </row>
    <row r="27" spans="3:10" ht="15.75">
      <c r="C27" s="463" t="s">
        <v>37</v>
      </c>
      <c r="D27" s="463"/>
      <c r="F27" s="458" t="s">
        <v>124</v>
      </c>
      <c r="G27" s="458"/>
      <c r="I27" s="462" t="s">
        <v>125</v>
      </c>
      <c r="J27" s="462"/>
    </row>
    <row r="28" spans="1:20" ht="16.5" thickBo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123"/>
      <c r="S28" s="123"/>
      <c r="T28" s="123"/>
    </row>
    <row r="30" spans="2:20" ht="32.25" thickBot="1">
      <c r="B30" s="3" t="s">
        <v>24</v>
      </c>
      <c r="C30" s="8" t="s">
        <v>67</v>
      </c>
      <c r="D30" s="8" t="s">
        <v>68</v>
      </c>
      <c r="E30" s="120" t="s">
        <v>69</v>
      </c>
      <c r="F30" s="120" t="s">
        <v>70</v>
      </c>
      <c r="G30" s="120" t="s">
        <v>71</v>
      </c>
      <c r="H30" s="120" t="s">
        <v>94</v>
      </c>
      <c r="I30" s="120" t="s">
        <v>304</v>
      </c>
      <c r="J30" s="120" t="s">
        <v>297</v>
      </c>
      <c r="K30" s="8" t="s">
        <v>205</v>
      </c>
      <c r="L30" s="8" t="s">
        <v>123</v>
      </c>
      <c r="M30" s="3" t="s">
        <v>29</v>
      </c>
      <c r="N30" s="3" t="s">
        <v>22</v>
      </c>
      <c r="O30" s="3" t="s">
        <v>28</v>
      </c>
      <c r="P30" s="3" t="s">
        <v>30</v>
      </c>
      <c r="Q30" s="10" t="s">
        <v>108</v>
      </c>
      <c r="R30" s="2" t="s">
        <v>174</v>
      </c>
      <c r="S30" s="2" t="s">
        <v>175</v>
      </c>
      <c r="T30" s="2" t="s">
        <v>176</v>
      </c>
    </row>
    <row r="31" spans="1:18" s="106" customFormat="1" ht="15.75">
      <c r="A31" s="19" t="s">
        <v>145</v>
      </c>
      <c r="B31" s="34" t="s">
        <v>195</v>
      </c>
      <c r="C31" s="102">
        <v>395</v>
      </c>
      <c r="D31" s="34">
        <v>405</v>
      </c>
      <c r="E31" s="34"/>
      <c r="F31" s="34">
        <v>400</v>
      </c>
      <c r="G31" s="34"/>
      <c r="H31" s="250">
        <v>436</v>
      </c>
      <c r="I31" s="34"/>
      <c r="J31" s="34"/>
      <c r="K31" s="250">
        <v>475</v>
      </c>
      <c r="L31" s="250">
        <v>452</v>
      </c>
      <c r="M31" s="105">
        <f>SUM(C31:L31)</f>
        <v>2563</v>
      </c>
      <c r="N31" s="103">
        <v>5</v>
      </c>
      <c r="O31" s="103">
        <v>3</v>
      </c>
      <c r="P31" s="103">
        <v>160</v>
      </c>
      <c r="Q31" s="103">
        <v>2</v>
      </c>
      <c r="R31" s="106">
        <v>1</v>
      </c>
    </row>
    <row r="32" spans="1:18" s="231" customFormat="1" ht="15.75">
      <c r="A32" s="25" t="s">
        <v>146</v>
      </c>
      <c r="B32" s="35" t="s">
        <v>196</v>
      </c>
      <c r="C32" s="202">
        <v>401</v>
      </c>
      <c r="D32" s="35">
        <v>386</v>
      </c>
      <c r="E32" s="35"/>
      <c r="F32" s="202">
        <v>407</v>
      </c>
      <c r="G32" s="35">
        <v>212</v>
      </c>
      <c r="H32" s="202">
        <v>427</v>
      </c>
      <c r="I32" s="35"/>
      <c r="J32" s="35">
        <v>169</v>
      </c>
      <c r="K32" s="35"/>
      <c r="L32" s="202">
        <v>425</v>
      </c>
      <c r="M32" s="200">
        <f aca="true" t="shared" si="3" ref="M32:M47">SUM(C32:L32)</f>
        <v>2427</v>
      </c>
      <c r="N32" s="193">
        <v>6</v>
      </c>
      <c r="O32" s="193">
        <v>2</v>
      </c>
      <c r="P32" s="193">
        <v>83</v>
      </c>
      <c r="Q32" s="193">
        <v>2</v>
      </c>
      <c r="R32" s="231">
        <v>1</v>
      </c>
    </row>
    <row r="33" spans="1:18" s="211" customFormat="1" ht="15.75">
      <c r="A33" s="83" t="s">
        <v>147</v>
      </c>
      <c r="B33" s="95" t="s">
        <v>192</v>
      </c>
      <c r="C33" s="102"/>
      <c r="D33" s="34">
        <v>420</v>
      </c>
      <c r="E33" s="34"/>
      <c r="F33" s="250">
        <v>425</v>
      </c>
      <c r="G33" s="250">
        <v>438</v>
      </c>
      <c r="H33" s="34">
        <v>417</v>
      </c>
      <c r="I33" s="34"/>
      <c r="J33" s="34"/>
      <c r="K33" s="250">
        <v>442</v>
      </c>
      <c r="L33" s="250">
        <v>433</v>
      </c>
      <c r="M33" s="366">
        <f t="shared" si="3"/>
        <v>2575</v>
      </c>
      <c r="N33" s="204">
        <v>6</v>
      </c>
      <c r="O33" s="204">
        <v>2</v>
      </c>
      <c r="P33" s="204">
        <v>162</v>
      </c>
      <c r="Q33" s="204">
        <v>2</v>
      </c>
      <c r="R33" s="211">
        <v>1</v>
      </c>
    </row>
    <row r="34" spans="1:18" s="231" customFormat="1" ht="15.75">
      <c r="A34" s="25" t="s">
        <v>148</v>
      </c>
      <c r="B34" s="35" t="s">
        <v>272</v>
      </c>
      <c r="C34" s="47"/>
      <c r="D34" s="35"/>
      <c r="E34" s="202">
        <v>463</v>
      </c>
      <c r="F34" s="35">
        <v>422</v>
      </c>
      <c r="G34" s="35">
        <v>414</v>
      </c>
      <c r="H34" s="35">
        <v>440</v>
      </c>
      <c r="I34" s="35"/>
      <c r="J34" s="35"/>
      <c r="K34" s="202">
        <v>450</v>
      </c>
      <c r="L34" s="202">
        <v>457</v>
      </c>
      <c r="M34" s="200">
        <f t="shared" si="3"/>
        <v>2646</v>
      </c>
      <c r="N34" s="193">
        <v>5</v>
      </c>
      <c r="O34" s="193">
        <v>3</v>
      </c>
      <c r="P34" s="193">
        <v>53</v>
      </c>
      <c r="Q34" s="193">
        <v>2</v>
      </c>
      <c r="R34" s="231">
        <v>1</v>
      </c>
    </row>
    <row r="35" spans="1:18" s="144" customFormat="1" ht="15.75">
      <c r="A35" s="360" t="s">
        <v>149</v>
      </c>
      <c r="B35" s="205" t="s">
        <v>19</v>
      </c>
      <c r="C35" s="432">
        <v>437</v>
      </c>
      <c r="D35" s="431">
        <v>404</v>
      </c>
      <c r="E35" s="431"/>
      <c r="F35" s="431">
        <v>415</v>
      </c>
      <c r="G35" s="432">
        <v>449</v>
      </c>
      <c r="H35" s="431">
        <v>407</v>
      </c>
      <c r="I35" s="431"/>
      <c r="J35" s="431"/>
      <c r="K35" s="432">
        <v>522</v>
      </c>
      <c r="L35" s="431"/>
      <c r="M35" s="182">
        <f t="shared" si="3"/>
        <v>2634</v>
      </c>
      <c r="N35" s="29">
        <v>5</v>
      </c>
      <c r="O35" s="29">
        <v>3</v>
      </c>
      <c r="P35" s="29">
        <v>21</v>
      </c>
      <c r="Q35" s="29">
        <v>2</v>
      </c>
      <c r="R35" s="144">
        <v>1</v>
      </c>
    </row>
    <row r="36" spans="1:20" s="231" customFormat="1" ht="15.75">
      <c r="A36" s="25" t="s">
        <v>150</v>
      </c>
      <c r="B36" s="47" t="s">
        <v>18</v>
      </c>
      <c r="C36" s="47"/>
      <c r="D36" s="35">
        <v>414</v>
      </c>
      <c r="E36" s="202">
        <v>419</v>
      </c>
      <c r="F36" s="35">
        <v>410</v>
      </c>
      <c r="G36" s="202">
        <v>434</v>
      </c>
      <c r="H36" s="202">
        <v>425</v>
      </c>
      <c r="I36" s="35"/>
      <c r="J36" s="35">
        <v>355</v>
      </c>
      <c r="K36" s="35"/>
      <c r="L36" s="35"/>
      <c r="M36" s="200">
        <f t="shared" si="3"/>
        <v>2457</v>
      </c>
      <c r="N36" s="193">
        <v>3</v>
      </c>
      <c r="O36" s="193">
        <v>5</v>
      </c>
      <c r="P36" s="193">
        <v>-108</v>
      </c>
      <c r="Q36" s="193">
        <v>0</v>
      </c>
      <c r="T36" s="231">
        <v>1</v>
      </c>
    </row>
    <row r="37" spans="1:18" s="106" customFormat="1" ht="15.75">
      <c r="A37" s="19" t="s">
        <v>151</v>
      </c>
      <c r="B37" s="102" t="s">
        <v>17</v>
      </c>
      <c r="C37" s="102">
        <v>446</v>
      </c>
      <c r="D37" s="34"/>
      <c r="E37" s="250">
        <v>461</v>
      </c>
      <c r="F37" s="34"/>
      <c r="G37" s="250">
        <v>461</v>
      </c>
      <c r="H37" s="34">
        <v>384</v>
      </c>
      <c r="I37" s="34"/>
      <c r="J37" s="34"/>
      <c r="K37" s="34">
        <v>450</v>
      </c>
      <c r="L37" s="250">
        <v>473</v>
      </c>
      <c r="M37" s="105">
        <f t="shared" si="3"/>
        <v>2675</v>
      </c>
      <c r="N37" s="103">
        <v>5</v>
      </c>
      <c r="O37" s="103">
        <v>3</v>
      </c>
      <c r="P37" s="103">
        <v>19</v>
      </c>
      <c r="Q37" s="103">
        <v>2</v>
      </c>
      <c r="R37" s="106">
        <v>1</v>
      </c>
    </row>
    <row r="38" spans="1:18" s="231" customFormat="1" ht="15.75">
      <c r="A38" s="25" t="s">
        <v>152</v>
      </c>
      <c r="B38" s="47" t="s">
        <v>193</v>
      </c>
      <c r="C38" s="202">
        <v>430</v>
      </c>
      <c r="D38" s="35">
        <v>418</v>
      </c>
      <c r="E38" s="35"/>
      <c r="F38" s="35"/>
      <c r="G38" s="35"/>
      <c r="H38" s="202">
        <v>440</v>
      </c>
      <c r="I38" s="35"/>
      <c r="J38" s="35">
        <v>376</v>
      </c>
      <c r="K38" s="202">
        <v>476</v>
      </c>
      <c r="L38" s="202">
        <v>435</v>
      </c>
      <c r="M38" s="200">
        <f t="shared" si="3"/>
        <v>2575</v>
      </c>
      <c r="N38" s="193">
        <v>6</v>
      </c>
      <c r="O38" s="193">
        <v>2</v>
      </c>
      <c r="P38" s="193">
        <v>78</v>
      </c>
      <c r="Q38" s="193">
        <v>2</v>
      </c>
      <c r="R38" s="231">
        <v>1</v>
      </c>
    </row>
    <row r="39" spans="1:18" s="211" customFormat="1" ht="15.75">
      <c r="A39" s="83" t="s">
        <v>153</v>
      </c>
      <c r="B39" s="96" t="s">
        <v>241</v>
      </c>
      <c r="C39" s="102">
        <v>442</v>
      </c>
      <c r="D39" s="34">
        <v>406</v>
      </c>
      <c r="E39" s="250">
        <v>447</v>
      </c>
      <c r="F39" s="34"/>
      <c r="G39" s="34">
        <v>424</v>
      </c>
      <c r="H39" s="34"/>
      <c r="I39" s="34"/>
      <c r="J39" s="34"/>
      <c r="K39" s="250">
        <v>467</v>
      </c>
      <c r="L39" s="250">
        <v>475</v>
      </c>
      <c r="M39" s="366">
        <f t="shared" si="3"/>
        <v>2661</v>
      </c>
      <c r="N39" s="204">
        <v>5</v>
      </c>
      <c r="O39" s="204">
        <v>3</v>
      </c>
      <c r="P39" s="204">
        <v>77</v>
      </c>
      <c r="Q39" s="204">
        <v>2</v>
      </c>
      <c r="R39" s="211">
        <v>1</v>
      </c>
    </row>
    <row r="40" spans="1:17" s="148" customFormat="1" ht="15.75">
      <c r="A40" s="145" t="s">
        <v>154</v>
      </c>
      <c r="B40" s="149" t="s">
        <v>234</v>
      </c>
      <c r="C40" s="146"/>
      <c r="D40" s="149"/>
      <c r="E40" s="149"/>
      <c r="F40" s="149"/>
      <c r="G40" s="149"/>
      <c r="H40" s="149"/>
      <c r="I40" s="149"/>
      <c r="J40" s="149"/>
      <c r="K40" s="149"/>
      <c r="L40" s="149"/>
      <c r="M40" s="367" t="s">
        <v>234</v>
      </c>
      <c r="N40" s="368"/>
      <c r="O40" s="368"/>
      <c r="P40" s="368"/>
      <c r="Q40" s="368"/>
    </row>
    <row r="41" spans="1:19" s="23" customFormat="1" ht="15.75">
      <c r="A41" s="204" t="s">
        <v>155</v>
      </c>
      <c r="B41" s="205" t="s">
        <v>242</v>
      </c>
      <c r="C41" s="250">
        <v>438</v>
      </c>
      <c r="D41" s="34">
        <v>372</v>
      </c>
      <c r="E41" s="250">
        <v>428</v>
      </c>
      <c r="F41" s="250">
        <v>422</v>
      </c>
      <c r="G41" s="250">
        <v>443</v>
      </c>
      <c r="H41" s="34">
        <v>402</v>
      </c>
      <c r="I41" s="34"/>
      <c r="J41" s="34"/>
      <c r="K41" s="34"/>
      <c r="L41" s="34"/>
      <c r="M41" s="58">
        <f t="shared" si="3"/>
        <v>2505</v>
      </c>
      <c r="N41" s="19">
        <v>4</v>
      </c>
      <c r="O41" s="19">
        <v>4</v>
      </c>
      <c r="P41" s="19">
        <v>-21</v>
      </c>
      <c r="Q41" s="19">
        <v>1</v>
      </c>
      <c r="S41" s="23">
        <v>1</v>
      </c>
    </row>
    <row r="42" spans="1:20" s="231" customFormat="1" ht="15.75">
      <c r="A42" s="25" t="s">
        <v>156</v>
      </c>
      <c r="B42" s="47" t="s">
        <v>194</v>
      </c>
      <c r="C42" s="47">
        <v>429</v>
      </c>
      <c r="D42" s="35"/>
      <c r="E42" s="202">
        <v>453</v>
      </c>
      <c r="F42" s="35">
        <v>429</v>
      </c>
      <c r="G42" s="202">
        <v>453</v>
      </c>
      <c r="H42" s="35">
        <v>447</v>
      </c>
      <c r="I42" s="35"/>
      <c r="J42" s="35"/>
      <c r="K42" s="35"/>
      <c r="L42" s="202">
        <v>471</v>
      </c>
      <c r="M42" s="200">
        <f t="shared" si="3"/>
        <v>2682</v>
      </c>
      <c r="N42" s="193">
        <v>3</v>
      </c>
      <c r="O42" s="193">
        <v>5</v>
      </c>
      <c r="P42" s="193">
        <v>-36</v>
      </c>
      <c r="Q42" s="193">
        <v>0</v>
      </c>
      <c r="T42" s="231">
        <v>1</v>
      </c>
    </row>
    <row r="43" spans="1:18" s="106" customFormat="1" ht="15.75">
      <c r="A43" s="19" t="s">
        <v>157</v>
      </c>
      <c r="B43" s="36" t="s">
        <v>238</v>
      </c>
      <c r="C43" s="102">
        <v>427</v>
      </c>
      <c r="D43" s="34"/>
      <c r="E43" s="34"/>
      <c r="F43" s="250">
        <v>433</v>
      </c>
      <c r="G43" s="250">
        <v>437</v>
      </c>
      <c r="H43" s="250">
        <v>446</v>
      </c>
      <c r="I43" s="34"/>
      <c r="J43" s="34"/>
      <c r="K43" s="250">
        <v>485</v>
      </c>
      <c r="L43" s="34">
        <v>425</v>
      </c>
      <c r="M43" s="105">
        <f t="shared" si="3"/>
        <v>2653</v>
      </c>
      <c r="N43" s="103">
        <v>6</v>
      </c>
      <c r="O43" s="103">
        <v>2</v>
      </c>
      <c r="P43" s="103">
        <v>142</v>
      </c>
      <c r="Q43" s="103">
        <v>2</v>
      </c>
      <c r="R43" s="106">
        <v>1</v>
      </c>
    </row>
    <row r="44" spans="1:18" s="231" customFormat="1" ht="15.75">
      <c r="A44" s="25" t="s">
        <v>243</v>
      </c>
      <c r="B44" s="47" t="s">
        <v>15</v>
      </c>
      <c r="C44" s="441">
        <v>462</v>
      </c>
      <c r="D44" s="440"/>
      <c r="E44" s="440"/>
      <c r="F44" s="440">
        <v>417</v>
      </c>
      <c r="G44" s="440">
        <v>442</v>
      </c>
      <c r="H44" s="440"/>
      <c r="I44" s="440"/>
      <c r="J44" s="441">
        <v>451</v>
      </c>
      <c r="K44" s="441">
        <v>464</v>
      </c>
      <c r="L44" s="441">
        <v>472</v>
      </c>
      <c r="M44" s="439">
        <f t="shared" si="3"/>
        <v>2708</v>
      </c>
      <c r="N44" s="193">
        <v>6</v>
      </c>
      <c r="O44" s="193">
        <v>2</v>
      </c>
      <c r="P44" s="193">
        <v>132</v>
      </c>
      <c r="Q44" s="193">
        <v>2</v>
      </c>
      <c r="R44" s="231">
        <v>1</v>
      </c>
    </row>
    <row r="45" spans="1:19" s="211" customFormat="1" ht="15.75">
      <c r="A45" s="83" t="s">
        <v>244</v>
      </c>
      <c r="B45" s="95" t="s">
        <v>21</v>
      </c>
      <c r="C45" s="250">
        <v>424</v>
      </c>
      <c r="D45" s="34">
        <v>392</v>
      </c>
      <c r="E45" s="34"/>
      <c r="F45" s="250">
        <v>435</v>
      </c>
      <c r="G45" s="250">
        <v>457</v>
      </c>
      <c r="H45" s="250">
        <v>447</v>
      </c>
      <c r="I45" s="34"/>
      <c r="J45" s="34">
        <v>406</v>
      </c>
      <c r="K45" s="34"/>
      <c r="L45" s="34"/>
      <c r="M45" s="366">
        <f t="shared" si="3"/>
        <v>2561</v>
      </c>
      <c r="N45" s="204">
        <v>4</v>
      </c>
      <c r="O45" s="204">
        <v>4</v>
      </c>
      <c r="P45" s="204">
        <v>-19</v>
      </c>
      <c r="Q45" s="204">
        <v>1</v>
      </c>
      <c r="S45" s="211">
        <v>1</v>
      </c>
    </row>
    <row r="46" spans="1:18" s="231" customFormat="1" ht="15.75">
      <c r="A46" s="25" t="s">
        <v>266</v>
      </c>
      <c r="B46" s="35" t="s">
        <v>20</v>
      </c>
      <c r="C46" s="202">
        <v>454</v>
      </c>
      <c r="D46" s="202">
        <v>449</v>
      </c>
      <c r="E46" s="35"/>
      <c r="F46" s="35"/>
      <c r="G46" s="202">
        <v>441</v>
      </c>
      <c r="H46" s="202">
        <v>447</v>
      </c>
      <c r="I46" s="35">
        <v>395</v>
      </c>
      <c r="J46" s="35">
        <v>389</v>
      </c>
      <c r="K46" s="35"/>
      <c r="L46" s="35"/>
      <c r="M46" s="200">
        <f t="shared" si="3"/>
        <v>2575</v>
      </c>
      <c r="N46" s="193">
        <v>6</v>
      </c>
      <c r="O46" s="193">
        <v>2</v>
      </c>
      <c r="P46" s="193">
        <v>25</v>
      </c>
      <c r="Q46" s="193">
        <v>2</v>
      </c>
      <c r="R46" s="231">
        <v>1</v>
      </c>
    </row>
    <row r="47" spans="1:20" s="231" customFormat="1" ht="16.5" thickBot="1">
      <c r="A47" s="25" t="s">
        <v>267</v>
      </c>
      <c r="B47" s="47" t="s">
        <v>25</v>
      </c>
      <c r="C47" s="280">
        <v>424</v>
      </c>
      <c r="D47" s="37">
        <v>436</v>
      </c>
      <c r="E47" s="37"/>
      <c r="F47" s="443">
        <v>443</v>
      </c>
      <c r="G47" s="443">
        <v>453</v>
      </c>
      <c r="H47" s="37">
        <v>437</v>
      </c>
      <c r="I47" s="37"/>
      <c r="J47" s="37"/>
      <c r="K47" s="37"/>
      <c r="L47" s="443">
        <v>456</v>
      </c>
      <c r="M47" s="200">
        <f t="shared" si="3"/>
        <v>2649</v>
      </c>
      <c r="N47" s="364">
        <v>5</v>
      </c>
      <c r="O47" s="364">
        <v>3</v>
      </c>
      <c r="P47" s="364">
        <v>73</v>
      </c>
      <c r="Q47" s="364">
        <v>2</v>
      </c>
      <c r="R47" s="242">
        <v>1</v>
      </c>
      <c r="S47" s="242"/>
      <c r="T47" s="242"/>
    </row>
    <row r="48" spans="3:20" ht="16.5" thickTop="1">
      <c r="C48" s="7">
        <f aca="true" t="shared" si="4" ref="C48:L48">SUM(C31:C47)</f>
        <v>5609</v>
      </c>
      <c r="D48" s="7">
        <f t="shared" si="4"/>
        <v>4502</v>
      </c>
      <c r="E48" s="7">
        <f t="shared" si="4"/>
        <v>2671</v>
      </c>
      <c r="F48" s="7">
        <f t="shared" si="4"/>
        <v>5058</v>
      </c>
      <c r="G48" s="7">
        <f>SUM(G33:G43)+SUM(G31)+SUM(G44:G47)</f>
        <v>5746</v>
      </c>
      <c r="H48" s="7">
        <f>SUM(H31:H42)+SUM(H43:H47)</f>
        <v>6002</v>
      </c>
      <c r="I48" s="7">
        <f>SUM(I41:I47)</f>
        <v>395</v>
      </c>
      <c r="J48" s="7">
        <f>SUM(J33:J43)+SUM(J31)+SUM(J44:J47)</f>
        <v>1977</v>
      </c>
      <c r="K48" s="7">
        <f t="shared" si="4"/>
        <v>4231</v>
      </c>
      <c r="L48" s="7">
        <f t="shared" si="4"/>
        <v>4974</v>
      </c>
      <c r="N48" s="1">
        <f>SUM(N31:N47)</f>
        <v>80</v>
      </c>
      <c r="O48" s="1">
        <f>SUM(O31:O47)</f>
        <v>48</v>
      </c>
      <c r="P48" s="1">
        <f>SUM(P31:P47)</f>
        <v>841</v>
      </c>
      <c r="Q48" s="1">
        <f>SUM(Q31:Q47)</f>
        <v>26</v>
      </c>
      <c r="R48" s="1">
        <f>SUM(R31:R47)+R23</f>
        <v>23</v>
      </c>
      <c r="S48" s="1">
        <f>SUM(S31:S47)+S23</f>
        <v>3</v>
      </c>
      <c r="T48" s="1">
        <f>SUM(T31:T47)+T23</f>
        <v>6</v>
      </c>
    </row>
    <row r="49" spans="2:12" ht="15.75">
      <c r="B49" s="57" t="s">
        <v>231</v>
      </c>
      <c r="C49" s="1">
        <f>COUNT(C31:C47)</f>
        <v>13</v>
      </c>
      <c r="D49" s="1">
        <f aca="true" t="shared" si="5" ref="D49:L49">COUNT(D31:D47)</f>
        <v>11</v>
      </c>
      <c r="E49" s="1">
        <f t="shared" si="5"/>
        <v>6</v>
      </c>
      <c r="F49" s="1">
        <f t="shared" si="5"/>
        <v>12</v>
      </c>
      <c r="G49" s="1">
        <f>COUNT(G33:G43)+COUNT(G31)+COUNT(G44:G47)</f>
        <v>13</v>
      </c>
      <c r="H49" s="1">
        <f>COUNT(H31:H42)+COUNT(H43:H47)</f>
        <v>14</v>
      </c>
      <c r="I49" s="1">
        <f>COUNT(I41:I47)</f>
        <v>1</v>
      </c>
      <c r="J49" s="1">
        <f>COUNT(J33:J43)+COUNT(J31)+COUNT(J44:J47)</f>
        <v>5</v>
      </c>
      <c r="K49" s="1">
        <f t="shared" si="5"/>
        <v>9</v>
      </c>
      <c r="L49" s="1">
        <f t="shared" si="5"/>
        <v>11</v>
      </c>
    </row>
    <row r="50" spans="2:20" ht="31.5">
      <c r="B50" s="11" t="s">
        <v>228</v>
      </c>
      <c r="C50" s="16">
        <f aca="true" t="shared" si="6" ref="C50:I50">C48/C49</f>
        <v>431.46153846153845</v>
      </c>
      <c r="D50" s="16">
        <f t="shared" si="6"/>
        <v>409.27272727272725</v>
      </c>
      <c r="E50" s="16">
        <f t="shared" si="6"/>
        <v>445.1666666666667</v>
      </c>
      <c r="F50" s="16">
        <f t="shared" si="6"/>
        <v>421.5</v>
      </c>
      <c r="G50" s="16">
        <f t="shared" si="6"/>
        <v>442</v>
      </c>
      <c r="H50" s="16">
        <f t="shared" si="6"/>
        <v>428.7142857142857</v>
      </c>
      <c r="I50" s="16">
        <f t="shared" si="6"/>
        <v>395</v>
      </c>
      <c r="J50" s="16">
        <f>J48/J49</f>
        <v>395.4</v>
      </c>
      <c r="K50" s="16">
        <f>K48/K49</f>
        <v>470.1111111111111</v>
      </c>
      <c r="L50" s="16">
        <f>L48/L49</f>
        <v>452.1818181818182</v>
      </c>
      <c r="M50" s="3" t="s">
        <v>29</v>
      </c>
      <c r="N50" s="461" t="s">
        <v>109</v>
      </c>
      <c r="O50" s="461"/>
      <c r="P50" s="3" t="s">
        <v>30</v>
      </c>
      <c r="Q50" s="10" t="s">
        <v>110</v>
      </c>
      <c r="S50" s="63" t="s">
        <v>118</v>
      </c>
      <c r="T50" s="63" t="s">
        <v>209</v>
      </c>
    </row>
    <row r="51" spans="12:20" ht="15.75">
      <c r="L51" s="16"/>
      <c r="M51" s="6">
        <f>SUM(M31:M47)+M26</f>
        <v>83045</v>
      </c>
      <c r="N51" s="6">
        <f>SUM(N31:N47)+N26</f>
        <v>157</v>
      </c>
      <c r="O51" s="6">
        <f>SUM(O31:O47)+O26</f>
        <v>99</v>
      </c>
      <c r="P51" s="6">
        <f>SUM(P31:P47)+P26</f>
        <v>1648</v>
      </c>
      <c r="Q51" s="6">
        <f>SUM(Q31:Q47)+Q26</f>
        <v>49</v>
      </c>
      <c r="S51" s="2">
        <f>N51-O51</f>
        <v>58</v>
      </c>
      <c r="T51" s="2">
        <f>SUM(R48:T48)</f>
        <v>32</v>
      </c>
    </row>
    <row r="53" spans="13:14" ht="15.75">
      <c r="M53" s="1" t="s">
        <v>120</v>
      </c>
      <c r="N53" s="18">
        <f>M51/T51</f>
        <v>2595.15625</v>
      </c>
    </row>
  </sheetData>
  <sheetProtection/>
  <mergeCells count="11">
    <mergeCell ref="N25:O25"/>
    <mergeCell ref="I27:J27"/>
    <mergeCell ref="E1:F1"/>
    <mergeCell ref="K2:L2"/>
    <mergeCell ref="H1:I1"/>
    <mergeCell ref="K1:L1"/>
    <mergeCell ref="N50:O50"/>
    <mergeCell ref="F27:G27"/>
    <mergeCell ref="C4:L4"/>
    <mergeCell ref="N4:O4"/>
    <mergeCell ref="C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V53"/>
  <sheetViews>
    <sheetView zoomScale="90" zoomScaleNormal="90" zoomScalePageLayoutView="0" workbookViewId="0" topLeftCell="B26">
      <selection activeCell="I45" sqref="I45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10.375" style="1" customWidth="1"/>
    <col min="4" max="4" width="10.75390625" style="1" customWidth="1"/>
    <col min="5" max="5" width="11.375" style="1" customWidth="1"/>
    <col min="6" max="6" width="10.25390625" style="1" customWidth="1"/>
    <col min="7" max="8" width="11.375" style="1" customWidth="1"/>
    <col min="9" max="9" width="10.25390625" style="1" customWidth="1"/>
    <col min="10" max="10" width="11.25390625" style="1" customWidth="1"/>
    <col min="11" max="11" width="10.25390625" style="1" customWidth="1"/>
    <col min="12" max="12" width="11.125" style="1" customWidth="1"/>
    <col min="13" max="13" width="17.75390625" style="1" bestFit="1" customWidth="1"/>
    <col min="14" max="14" width="11.125" style="1" bestFit="1" customWidth="1"/>
    <col min="15" max="15" width="12.125" style="1" customWidth="1"/>
    <col min="16" max="16" width="14.375" style="1" customWidth="1"/>
    <col min="17" max="17" width="12.00390625" style="1" customWidth="1"/>
    <col min="18" max="18" width="13.375" style="1" customWidth="1"/>
    <col min="19" max="19" width="11.875" style="1" customWidth="1"/>
    <col min="20" max="20" width="13.00390625" style="0" customWidth="1"/>
    <col min="21" max="21" width="11.75390625" style="0" customWidth="1"/>
    <col min="22" max="22" width="10.375" style="0" customWidth="1"/>
  </cols>
  <sheetData>
    <row r="1" spans="1:14" ht="15.75">
      <c r="A1" s="48" t="s">
        <v>133</v>
      </c>
      <c r="B1" s="49"/>
      <c r="C1" s="49" t="s">
        <v>136</v>
      </c>
      <c r="D1" s="49" t="s">
        <v>131</v>
      </c>
      <c r="E1" s="459" t="s">
        <v>132</v>
      </c>
      <c r="F1" s="459"/>
      <c r="G1" s="460" t="s">
        <v>143</v>
      </c>
      <c r="H1" s="460"/>
      <c r="I1" s="460"/>
      <c r="J1" s="1" t="s">
        <v>144</v>
      </c>
      <c r="K1" s="465" t="s">
        <v>118</v>
      </c>
      <c r="L1" s="465"/>
      <c r="M1" s="1" t="s">
        <v>120</v>
      </c>
      <c r="N1" s="18">
        <f>M26/S26</f>
        <v>2602.6875</v>
      </c>
    </row>
    <row r="2" spans="7:14" ht="15.75">
      <c r="G2" s="1">
        <f>N26+N48</f>
        <v>174</v>
      </c>
      <c r="I2" s="1">
        <f>O26+O48</f>
        <v>82</v>
      </c>
      <c r="J2" s="1">
        <f>Q26+Q48</f>
        <v>53</v>
      </c>
      <c r="K2" s="460">
        <f>G2-I2</f>
        <v>92</v>
      </c>
      <c r="L2" s="460"/>
      <c r="M2" s="1" t="s">
        <v>216</v>
      </c>
      <c r="N2" s="6">
        <f>M6+M8+M10+M11+M15+M17+M19+M21+M31+M33+M35+M37+M39+M41+M43+M46</f>
        <v>41719</v>
      </c>
    </row>
    <row r="4" spans="3:22" ht="15.75">
      <c r="C4" s="461" t="s">
        <v>26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P4" s="461" t="s">
        <v>27</v>
      </c>
      <c r="Q4" s="461"/>
      <c r="T4" s="2"/>
      <c r="U4" s="2"/>
      <c r="V4" s="2"/>
    </row>
    <row r="5" spans="2:20" ht="32.25" thickBot="1">
      <c r="B5" s="3" t="s">
        <v>24</v>
      </c>
      <c r="C5" s="8" t="s">
        <v>162</v>
      </c>
      <c r="D5" s="8" t="s">
        <v>48</v>
      </c>
      <c r="E5" s="8" t="s">
        <v>49</v>
      </c>
      <c r="F5" s="8" t="s">
        <v>295</v>
      </c>
      <c r="G5" s="8" t="s">
        <v>163</v>
      </c>
      <c r="H5" s="8"/>
      <c r="I5" s="8" t="s">
        <v>164</v>
      </c>
      <c r="J5" s="8" t="s">
        <v>179</v>
      </c>
      <c r="K5" s="180" t="s">
        <v>235</v>
      </c>
      <c r="L5" s="8" t="s">
        <v>247</v>
      </c>
      <c r="M5" s="3" t="s">
        <v>29</v>
      </c>
      <c r="N5" s="3" t="s">
        <v>17</v>
      </c>
      <c r="O5" s="3" t="s">
        <v>28</v>
      </c>
      <c r="P5" s="3" t="s">
        <v>30</v>
      </c>
      <c r="Q5" s="10" t="s">
        <v>108</v>
      </c>
      <c r="R5" s="2" t="s">
        <v>174</v>
      </c>
      <c r="S5" s="2" t="s">
        <v>175</v>
      </c>
      <c r="T5" s="2" t="s">
        <v>176</v>
      </c>
    </row>
    <row r="6" spans="1:20" s="27" customFormat="1" ht="15.75">
      <c r="A6" s="25" t="s">
        <v>0</v>
      </c>
      <c r="B6" s="35" t="s">
        <v>192</v>
      </c>
      <c r="C6" s="202">
        <v>465</v>
      </c>
      <c r="D6" s="202">
        <v>445</v>
      </c>
      <c r="E6" s="35"/>
      <c r="F6" s="93"/>
      <c r="G6" s="93"/>
      <c r="H6" s="93"/>
      <c r="I6" s="93">
        <v>415</v>
      </c>
      <c r="J6" s="93">
        <v>414</v>
      </c>
      <c r="K6" s="253">
        <v>424</v>
      </c>
      <c r="L6" s="118">
        <v>414</v>
      </c>
      <c r="M6" s="195">
        <f>SUM(C6:L6)</f>
        <v>2577</v>
      </c>
      <c r="N6" s="193">
        <v>5</v>
      </c>
      <c r="O6" s="193">
        <v>3</v>
      </c>
      <c r="P6" s="192">
        <f>M6-2495</f>
        <v>82</v>
      </c>
      <c r="Q6" s="193">
        <v>2</v>
      </c>
      <c r="R6" s="66">
        <v>1</v>
      </c>
      <c r="S6" s="66"/>
      <c r="T6" s="66"/>
    </row>
    <row r="7" spans="1:20" s="106" customFormat="1" ht="15.75">
      <c r="A7" s="19" t="s">
        <v>1</v>
      </c>
      <c r="B7" s="34" t="s">
        <v>272</v>
      </c>
      <c r="C7" s="102"/>
      <c r="D7" s="34">
        <v>400</v>
      </c>
      <c r="E7" s="250">
        <v>448</v>
      </c>
      <c r="F7" s="95"/>
      <c r="G7" s="95"/>
      <c r="H7" s="95"/>
      <c r="I7" s="95">
        <v>392</v>
      </c>
      <c r="J7" s="201">
        <v>439</v>
      </c>
      <c r="K7" s="267">
        <v>464</v>
      </c>
      <c r="L7" s="268">
        <v>428</v>
      </c>
      <c r="M7" s="185">
        <f aca="true" t="shared" si="0" ref="M7:M22">SUM(C7:L7)</f>
        <v>2571</v>
      </c>
      <c r="N7" s="103">
        <v>6</v>
      </c>
      <c r="O7" s="103">
        <v>2</v>
      </c>
      <c r="P7" s="113">
        <f>M7-2438</f>
        <v>133</v>
      </c>
      <c r="Q7" s="103">
        <v>2</v>
      </c>
      <c r="R7" s="117">
        <v>1</v>
      </c>
      <c r="S7" s="117"/>
      <c r="T7" s="117"/>
    </row>
    <row r="8" spans="1:20" s="47" customFormat="1" ht="15.75">
      <c r="A8" s="47" t="s">
        <v>2</v>
      </c>
      <c r="B8" s="35" t="s">
        <v>19</v>
      </c>
      <c r="C8" s="202">
        <v>424</v>
      </c>
      <c r="D8" s="202">
        <v>427</v>
      </c>
      <c r="E8" s="202">
        <v>443</v>
      </c>
      <c r="F8" s="35"/>
      <c r="G8" s="202">
        <v>426</v>
      </c>
      <c r="H8" s="202"/>
      <c r="I8" s="35"/>
      <c r="J8" s="35">
        <v>412</v>
      </c>
      <c r="K8" s="39"/>
      <c r="L8" s="33">
        <v>417</v>
      </c>
      <c r="M8" s="178">
        <f t="shared" si="0"/>
        <v>2549</v>
      </c>
      <c r="N8" s="47">
        <v>6</v>
      </c>
      <c r="O8" s="47">
        <v>2</v>
      </c>
      <c r="P8" s="245">
        <v>122</v>
      </c>
      <c r="Q8" s="47">
        <v>2</v>
      </c>
      <c r="R8" s="291">
        <v>1</v>
      </c>
      <c r="S8" s="291"/>
      <c r="T8" s="291"/>
    </row>
    <row r="9" spans="1:20" s="96" customFormat="1" ht="15.75">
      <c r="A9" s="96" t="s">
        <v>3</v>
      </c>
      <c r="B9" s="96" t="s">
        <v>18</v>
      </c>
      <c r="C9" s="96">
        <v>411</v>
      </c>
      <c r="D9" s="201">
        <v>437</v>
      </c>
      <c r="E9" s="201">
        <v>429</v>
      </c>
      <c r="F9" s="99"/>
      <c r="G9" s="99"/>
      <c r="H9" s="99"/>
      <c r="I9" s="99"/>
      <c r="J9" s="267">
        <v>445</v>
      </c>
      <c r="K9" s="267">
        <v>447</v>
      </c>
      <c r="L9" s="111">
        <v>422</v>
      </c>
      <c r="M9" s="292">
        <f t="shared" si="0"/>
        <v>2591</v>
      </c>
      <c r="N9" s="96">
        <v>6</v>
      </c>
      <c r="O9" s="96">
        <v>2</v>
      </c>
      <c r="P9" s="295">
        <v>81</v>
      </c>
      <c r="Q9" s="96">
        <v>2</v>
      </c>
      <c r="R9" s="293">
        <v>1</v>
      </c>
      <c r="S9" s="293"/>
      <c r="T9" s="293"/>
    </row>
    <row r="10" spans="1:20" s="282" customFormat="1" ht="15.75">
      <c r="A10" s="282" t="s">
        <v>4</v>
      </c>
      <c r="B10" s="282" t="s">
        <v>25</v>
      </c>
      <c r="D10" s="330">
        <v>446</v>
      </c>
      <c r="E10" s="155">
        <v>412</v>
      </c>
      <c r="F10" s="155"/>
      <c r="G10" s="155"/>
      <c r="H10" s="155"/>
      <c r="I10" s="155">
        <v>428</v>
      </c>
      <c r="J10" s="155">
        <v>421</v>
      </c>
      <c r="K10" s="301">
        <v>406</v>
      </c>
      <c r="L10" s="329">
        <v>457</v>
      </c>
      <c r="M10" s="302">
        <f t="shared" si="0"/>
        <v>2570</v>
      </c>
      <c r="N10" s="282">
        <v>2</v>
      </c>
      <c r="O10" s="282">
        <v>6</v>
      </c>
      <c r="P10" s="284">
        <v>-103</v>
      </c>
      <c r="Q10" s="282">
        <v>0</v>
      </c>
      <c r="R10" s="303"/>
      <c r="S10" s="303"/>
      <c r="T10" s="303">
        <v>1</v>
      </c>
    </row>
    <row r="11" spans="1:18" s="282" customFormat="1" ht="15.75">
      <c r="A11" s="282" t="s">
        <v>5</v>
      </c>
      <c r="B11" s="282" t="s">
        <v>193</v>
      </c>
      <c r="D11" s="330">
        <v>437</v>
      </c>
      <c r="E11" s="282">
        <v>405</v>
      </c>
      <c r="I11" s="330">
        <v>423</v>
      </c>
      <c r="J11" s="330">
        <v>456</v>
      </c>
      <c r="K11" s="330">
        <v>462</v>
      </c>
      <c r="L11" s="282">
        <v>371</v>
      </c>
      <c r="M11" s="304">
        <f t="shared" si="0"/>
        <v>2554</v>
      </c>
      <c r="N11" s="282">
        <v>6</v>
      </c>
      <c r="O11" s="282">
        <v>2</v>
      </c>
      <c r="P11" s="284">
        <f>M11-2467</f>
        <v>87</v>
      </c>
      <c r="Q11" s="282">
        <v>2</v>
      </c>
      <c r="R11" s="282">
        <v>1</v>
      </c>
    </row>
    <row r="12" spans="1:20" s="285" customFormat="1" ht="15.75">
      <c r="A12" s="285" t="s">
        <v>6</v>
      </c>
      <c r="B12" s="285" t="s">
        <v>241</v>
      </c>
      <c r="D12" s="184">
        <v>408</v>
      </c>
      <c r="E12" s="339">
        <v>432</v>
      </c>
      <c r="F12" s="184"/>
      <c r="G12" s="184"/>
      <c r="H12" s="184"/>
      <c r="I12" s="184">
        <v>410</v>
      </c>
      <c r="J12" s="339">
        <v>445</v>
      </c>
      <c r="K12" s="341">
        <v>432</v>
      </c>
      <c r="L12" s="286">
        <v>426</v>
      </c>
      <c r="M12" s="305">
        <f t="shared" si="0"/>
        <v>2553</v>
      </c>
      <c r="N12" s="285">
        <v>3</v>
      </c>
      <c r="O12" s="285">
        <v>5</v>
      </c>
      <c r="P12" s="287">
        <v>-82</v>
      </c>
      <c r="Q12" s="285">
        <v>0</v>
      </c>
      <c r="R12" s="306"/>
      <c r="S12" s="306"/>
      <c r="T12" s="306">
        <v>1</v>
      </c>
    </row>
    <row r="13" spans="1:20" s="307" customFormat="1" ht="15.75">
      <c r="A13" s="307" t="s">
        <v>7</v>
      </c>
      <c r="B13" s="218" t="s">
        <v>234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20"/>
      <c r="M13" s="308" t="s">
        <v>234</v>
      </c>
      <c r="N13" s="309"/>
      <c r="O13" s="309"/>
      <c r="P13" s="309"/>
      <c r="Q13" s="309"/>
      <c r="R13" s="310"/>
      <c r="S13" s="310"/>
      <c r="T13" s="310"/>
    </row>
    <row r="14" spans="1:20" s="288" customFormat="1" ht="15.75">
      <c r="A14" s="288" t="s">
        <v>8</v>
      </c>
      <c r="B14" s="254" t="s">
        <v>242</v>
      </c>
      <c r="D14" s="254">
        <v>424</v>
      </c>
      <c r="E14" s="254">
        <v>419</v>
      </c>
      <c r="F14" s="254"/>
      <c r="G14" s="254"/>
      <c r="H14" s="254"/>
      <c r="I14" s="344">
        <v>460</v>
      </c>
      <c r="J14" s="254">
        <v>397</v>
      </c>
      <c r="K14" s="345">
        <v>451</v>
      </c>
      <c r="L14" s="255">
        <v>425</v>
      </c>
      <c r="M14" s="312">
        <f t="shared" si="0"/>
        <v>2576</v>
      </c>
      <c r="N14" s="288">
        <v>4</v>
      </c>
      <c r="O14" s="288">
        <v>4</v>
      </c>
      <c r="P14" s="290">
        <v>4</v>
      </c>
      <c r="Q14" s="288">
        <v>1</v>
      </c>
      <c r="R14" s="313"/>
      <c r="S14" s="313">
        <v>1</v>
      </c>
      <c r="T14" s="313"/>
    </row>
    <row r="15" spans="1:20" s="256" customFormat="1" ht="15.75">
      <c r="A15" s="256" t="s">
        <v>9</v>
      </c>
      <c r="B15" s="256" t="s">
        <v>194</v>
      </c>
      <c r="C15" s="256">
        <v>413</v>
      </c>
      <c r="D15" s="257"/>
      <c r="E15" s="257">
        <v>418</v>
      </c>
      <c r="F15" s="257"/>
      <c r="G15" s="257"/>
      <c r="H15" s="257"/>
      <c r="I15" s="257">
        <v>416</v>
      </c>
      <c r="J15" s="346">
        <v>445</v>
      </c>
      <c r="K15" s="347">
        <v>464</v>
      </c>
      <c r="L15" s="348">
        <v>442</v>
      </c>
      <c r="M15" s="315">
        <f t="shared" si="0"/>
        <v>2598</v>
      </c>
      <c r="N15" s="256">
        <v>5</v>
      </c>
      <c r="O15" s="256">
        <v>3</v>
      </c>
      <c r="P15" s="256">
        <v>15</v>
      </c>
      <c r="Q15" s="256">
        <v>2</v>
      </c>
      <c r="R15" s="316">
        <v>1</v>
      </c>
      <c r="S15" s="316"/>
      <c r="T15" s="316"/>
    </row>
    <row r="16" spans="1:20" s="102" customFormat="1" ht="15.75">
      <c r="A16" s="102" t="s">
        <v>10</v>
      </c>
      <c r="B16" s="36" t="s">
        <v>238</v>
      </c>
      <c r="D16" s="250">
        <v>461</v>
      </c>
      <c r="E16" s="34">
        <v>202</v>
      </c>
      <c r="F16" s="34">
        <v>209</v>
      </c>
      <c r="G16" s="34"/>
      <c r="H16" s="34"/>
      <c r="I16" s="34">
        <v>408</v>
      </c>
      <c r="J16" s="250">
        <v>436</v>
      </c>
      <c r="K16" s="261">
        <v>443</v>
      </c>
      <c r="L16" s="275">
        <v>422</v>
      </c>
      <c r="M16" s="179">
        <f t="shared" si="0"/>
        <v>2581</v>
      </c>
      <c r="N16" s="102">
        <v>6</v>
      </c>
      <c r="O16" s="102">
        <v>2</v>
      </c>
      <c r="P16" s="102">
        <v>120</v>
      </c>
      <c r="Q16" s="102">
        <v>2</v>
      </c>
      <c r="R16" s="317">
        <v>1</v>
      </c>
      <c r="S16" s="317"/>
      <c r="T16" s="317"/>
    </row>
    <row r="17" spans="1:20" s="47" customFormat="1" ht="15.75">
      <c r="A17" s="47" t="s">
        <v>11</v>
      </c>
      <c r="B17" s="47" t="s">
        <v>15</v>
      </c>
      <c r="D17" s="202">
        <v>450</v>
      </c>
      <c r="E17" s="202">
        <v>434</v>
      </c>
      <c r="F17" s="35">
        <v>405</v>
      </c>
      <c r="G17" s="35"/>
      <c r="H17" s="35"/>
      <c r="I17" s="35"/>
      <c r="J17" s="202">
        <v>423</v>
      </c>
      <c r="K17" s="252">
        <v>471</v>
      </c>
      <c r="L17" s="326">
        <v>433</v>
      </c>
      <c r="M17" s="178">
        <f t="shared" si="0"/>
        <v>2616</v>
      </c>
      <c r="N17" s="47">
        <v>7</v>
      </c>
      <c r="O17" s="47">
        <v>1</v>
      </c>
      <c r="P17" s="245">
        <v>102</v>
      </c>
      <c r="Q17" s="47">
        <v>2</v>
      </c>
      <c r="R17" s="291">
        <v>1</v>
      </c>
      <c r="S17" s="291"/>
      <c r="T17" s="291"/>
    </row>
    <row r="18" spans="1:20" s="96" customFormat="1" ht="15.75">
      <c r="A18" s="96" t="s">
        <v>12</v>
      </c>
      <c r="B18" s="95" t="s">
        <v>21</v>
      </c>
      <c r="D18" s="201">
        <v>455</v>
      </c>
      <c r="E18" s="201">
        <v>456</v>
      </c>
      <c r="F18" s="201">
        <v>430</v>
      </c>
      <c r="G18" s="95"/>
      <c r="H18" s="95"/>
      <c r="I18" s="95">
        <v>405</v>
      </c>
      <c r="J18" s="95"/>
      <c r="K18" s="267">
        <v>466</v>
      </c>
      <c r="L18" s="268">
        <v>438</v>
      </c>
      <c r="M18" s="292">
        <f t="shared" si="0"/>
        <v>2650</v>
      </c>
      <c r="N18" s="96">
        <v>7</v>
      </c>
      <c r="O18" s="96">
        <v>1</v>
      </c>
      <c r="P18" s="295">
        <v>334</v>
      </c>
      <c r="Q18" s="96">
        <v>2</v>
      </c>
      <c r="R18" s="293">
        <v>1</v>
      </c>
      <c r="S18" s="293"/>
      <c r="T18" s="293"/>
    </row>
    <row r="19" spans="1:20" s="282" customFormat="1" ht="15.75">
      <c r="A19" s="282" t="s">
        <v>13</v>
      </c>
      <c r="B19" s="155" t="s">
        <v>20</v>
      </c>
      <c r="C19" s="282">
        <v>437</v>
      </c>
      <c r="D19" s="330">
        <v>444</v>
      </c>
      <c r="E19" s="330">
        <v>496</v>
      </c>
      <c r="F19" s="155"/>
      <c r="G19" s="155"/>
      <c r="H19" s="155"/>
      <c r="I19" s="330">
        <v>457</v>
      </c>
      <c r="J19" s="155"/>
      <c r="K19" s="351">
        <v>478</v>
      </c>
      <c r="L19" s="283">
        <v>415</v>
      </c>
      <c r="M19" s="302">
        <f t="shared" si="0"/>
        <v>2727</v>
      </c>
      <c r="N19" s="282">
        <v>6</v>
      </c>
      <c r="O19" s="282">
        <v>2</v>
      </c>
      <c r="P19" s="284">
        <v>149</v>
      </c>
      <c r="Q19" s="282">
        <v>2</v>
      </c>
      <c r="R19" s="303">
        <v>1</v>
      </c>
      <c r="S19" s="303"/>
      <c r="T19" s="303"/>
    </row>
    <row r="20" spans="1:20" s="285" customFormat="1" ht="15.75">
      <c r="A20" s="285" t="s">
        <v>14</v>
      </c>
      <c r="B20" s="285" t="s">
        <v>22</v>
      </c>
      <c r="D20" s="339">
        <v>445</v>
      </c>
      <c r="E20" s="339">
        <v>439</v>
      </c>
      <c r="F20" s="184">
        <v>430</v>
      </c>
      <c r="G20" s="184"/>
      <c r="H20" s="184"/>
      <c r="I20" s="339">
        <v>458</v>
      </c>
      <c r="J20" s="184">
        <v>428</v>
      </c>
      <c r="K20" s="341">
        <v>454</v>
      </c>
      <c r="L20" s="286"/>
      <c r="M20" s="305">
        <f t="shared" si="0"/>
        <v>2654</v>
      </c>
      <c r="N20" s="285">
        <v>6</v>
      </c>
      <c r="O20" s="285">
        <v>2</v>
      </c>
      <c r="P20" s="287">
        <v>67</v>
      </c>
      <c r="Q20" s="285">
        <v>2</v>
      </c>
      <c r="R20" s="306">
        <v>1</v>
      </c>
      <c r="S20" s="306"/>
      <c r="T20" s="306"/>
    </row>
    <row r="21" spans="1:20" s="225" customFormat="1" ht="15.75">
      <c r="A21" s="225" t="s">
        <v>239</v>
      </c>
      <c r="B21" s="226" t="s">
        <v>195</v>
      </c>
      <c r="C21" s="251">
        <v>434</v>
      </c>
      <c r="D21" s="226">
        <v>427</v>
      </c>
      <c r="E21" s="226"/>
      <c r="F21" s="251">
        <v>443</v>
      </c>
      <c r="G21" s="226"/>
      <c r="H21" s="226"/>
      <c r="I21" s="226">
        <v>412</v>
      </c>
      <c r="J21" s="251">
        <v>469</v>
      </c>
      <c r="K21" s="249">
        <v>463</v>
      </c>
      <c r="L21" s="228"/>
      <c r="M21" s="318">
        <f t="shared" si="0"/>
        <v>2648</v>
      </c>
      <c r="N21" s="225">
        <v>6</v>
      </c>
      <c r="O21" s="225">
        <v>2</v>
      </c>
      <c r="P21" s="319">
        <v>110</v>
      </c>
      <c r="Q21" s="225">
        <v>2</v>
      </c>
      <c r="R21" s="320">
        <v>1</v>
      </c>
      <c r="S21" s="320"/>
      <c r="T21" s="320"/>
    </row>
    <row r="22" spans="1:20" s="288" customFormat="1" ht="16.5" thickBot="1">
      <c r="A22" s="288" t="s">
        <v>240</v>
      </c>
      <c r="B22" s="254" t="s">
        <v>196</v>
      </c>
      <c r="C22" s="322"/>
      <c r="D22" s="358">
        <v>460</v>
      </c>
      <c r="E22" s="358">
        <v>447</v>
      </c>
      <c r="F22" s="321"/>
      <c r="G22" s="321"/>
      <c r="H22" s="321"/>
      <c r="I22" s="321">
        <v>400</v>
      </c>
      <c r="J22" s="358">
        <v>435</v>
      </c>
      <c r="K22" s="358">
        <v>451</v>
      </c>
      <c r="L22" s="359">
        <v>435</v>
      </c>
      <c r="M22" s="312">
        <f t="shared" si="0"/>
        <v>2628</v>
      </c>
      <c r="N22" s="322">
        <v>7</v>
      </c>
      <c r="O22" s="322">
        <v>1</v>
      </c>
      <c r="P22" s="323">
        <v>133</v>
      </c>
      <c r="Q22" s="322">
        <v>2</v>
      </c>
      <c r="R22" s="324">
        <v>1</v>
      </c>
      <c r="S22" s="324"/>
      <c r="T22" s="324"/>
    </row>
    <row r="23" spans="3:20" ht="16.5" thickTop="1">
      <c r="C23" s="6">
        <f>SUM(C6:C12)+SUM(C14:C22)</f>
        <v>2584</v>
      </c>
      <c r="D23" s="6">
        <f>SUM(D6:D12)+SUM(D14:D22)</f>
        <v>6566</v>
      </c>
      <c r="E23" s="6">
        <f>SUM(E6:E15)+SUM(E17:E22)</f>
        <v>5678</v>
      </c>
      <c r="F23" s="6">
        <f>SUM(F6:F12)+SUM(F17:F22)</f>
        <v>1708</v>
      </c>
      <c r="G23" s="6">
        <f>SUM(G6:G12)+SUM(G14:G22)</f>
        <v>426</v>
      </c>
      <c r="H23" s="6"/>
      <c r="I23" s="6">
        <f>SUM(I6:I22)</f>
        <v>5484</v>
      </c>
      <c r="J23" s="6">
        <f>SUM(J6:J22)</f>
        <v>6065</v>
      </c>
      <c r="K23" s="6">
        <f>SUM(K6:K22)</f>
        <v>6776</v>
      </c>
      <c r="L23" s="6">
        <f>SUM(L6:L13)+SUM(L14:L22)</f>
        <v>5945</v>
      </c>
      <c r="R23" s="67">
        <f>SUM(R6:R22)</f>
        <v>13</v>
      </c>
      <c r="S23" s="67">
        <f>SUM(S6:S22)</f>
        <v>1</v>
      </c>
      <c r="T23" s="67">
        <f>SUM(T6:T22)</f>
        <v>2</v>
      </c>
    </row>
    <row r="24" spans="2:19" ht="15.75">
      <c r="B24" s="1" t="s">
        <v>211</v>
      </c>
      <c r="C24" s="6">
        <f>COUNT(C6:C12)+COUNT(C14:C22)</f>
        <v>6</v>
      </c>
      <c r="D24" s="6">
        <f>COUNT(D6:D12)+COUNT(D14:D22)</f>
        <v>15</v>
      </c>
      <c r="E24" s="6">
        <f>COUNT(E6:E15)+COUNT(E17:E22)</f>
        <v>13</v>
      </c>
      <c r="F24" s="6">
        <f>COUNT(F6:F12)+COUNT(F17:F22)</f>
        <v>4</v>
      </c>
      <c r="G24" s="6">
        <f>COUNT(G6:G12)+COUNT(G14:G22)</f>
        <v>1</v>
      </c>
      <c r="H24" s="6"/>
      <c r="I24" s="6">
        <f>COUNT(I6:I22)</f>
        <v>13</v>
      </c>
      <c r="J24" s="6">
        <f>COUNT(J6:J22)</f>
        <v>14</v>
      </c>
      <c r="K24" s="6">
        <f>COUNT(K6:K22)</f>
        <v>15</v>
      </c>
      <c r="L24" s="6">
        <f>COUNT(L6:L13)+COUNT(L14:L22)</f>
        <v>14</v>
      </c>
      <c r="R24"/>
      <c r="S24"/>
    </row>
    <row r="25" spans="2:19" ht="31.5">
      <c r="B25" s="11" t="s">
        <v>119</v>
      </c>
      <c r="C25" s="16">
        <f>C23/C24</f>
        <v>430.6666666666667</v>
      </c>
      <c r="D25" s="16">
        <f>D23/D24</f>
        <v>437.73333333333335</v>
      </c>
      <c r="E25" s="16">
        <f>E23/E24</f>
        <v>436.7692307692308</v>
      </c>
      <c r="F25" s="16">
        <f>F23/F24</f>
        <v>427</v>
      </c>
      <c r="G25" s="16">
        <f>AVERAGE(G6:G22)</f>
        <v>426</v>
      </c>
      <c r="H25" s="16"/>
      <c r="I25" s="16">
        <f>AVERAGE(I6:I22)</f>
        <v>421.84615384615387</v>
      </c>
      <c r="J25" s="16">
        <f>AVERAGE(J6:J22)</f>
        <v>433.2142857142857</v>
      </c>
      <c r="K25" s="16">
        <f>AVERAGE(K6:K22)</f>
        <v>451.73333333333335</v>
      </c>
      <c r="L25" s="16">
        <f>L23/L24</f>
        <v>424.64285714285717</v>
      </c>
      <c r="M25" s="3" t="s">
        <v>29</v>
      </c>
      <c r="N25" s="461" t="s">
        <v>109</v>
      </c>
      <c r="O25" s="461"/>
      <c r="P25" s="3" t="s">
        <v>30</v>
      </c>
      <c r="Q25" s="10" t="s">
        <v>110</v>
      </c>
      <c r="R25" s="63" t="s">
        <v>118</v>
      </c>
      <c r="S25" s="63" t="s">
        <v>209</v>
      </c>
    </row>
    <row r="26" spans="13:19" ht="15.75">
      <c r="M26" s="6">
        <f>SUM(M6:M22)</f>
        <v>41643</v>
      </c>
      <c r="N26" s="1">
        <f>SUM(N6:N22)</f>
        <v>88</v>
      </c>
      <c r="O26" s="1">
        <f>SUM(O6:O22)</f>
        <v>40</v>
      </c>
      <c r="P26" s="1">
        <f>SUM(P6:P22)</f>
        <v>1354</v>
      </c>
      <c r="Q26" s="1">
        <f>SUM(Q6:Q22)</f>
        <v>27</v>
      </c>
      <c r="R26" s="65">
        <f>N26-O26</f>
        <v>48</v>
      </c>
      <c r="S26" s="46">
        <f>SUM(R23:T23)</f>
        <v>16</v>
      </c>
    </row>
    <row r="27" spans="3:11" ht="15.75">
      <c r="C27" s="463" t="s">
        <v>37</v>
      </c>
      <c r="D27" s="463"/>
      <c r="F27" s="458" t="s">
        <v>124</v>
      </c>
      <c r="G27" s="458"/>
      <c r="H27" s="29"/>
      <c r="J27" s="462" t="s">
        <v>125</v>
      </c>
      <c r="K27" s="462"/>
    </row>
    <row r="28" spans="1:20" ht="16.5" thickBo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123"/>
    </row>
    <row r="30" spans="2:20" ht="32.25" thickBot="1">
      <c r="B30" s="3" t="s">
        <v>24</v>
      </c>
      <c r="C30" s="8" t="s">
        <v>162</v>
      </c>
      <c r="D30" s="8" t="s">
        <v>48</v>
      </c>
      <c r="E30" s="8" t="s">
        <v>49</v>
      </c>
      <c r="F30" s="8" t="s">
        <v>295</v>
      </c>
      <c r="G30" s="8" t="s">
        <v>163</v>
      </c>
      <c r="H30" s="8" t="s">
        <v>302</v>
      </c>
      <c r="I30" s="8" t="s">
        <v>164</v>
      </c>
      <c r="J30" s="8" t="s">
        <v>179</v>
      </c>
      <c r="K30" s="180" t="s">
        <v>235</v>
      </c>
      <c r="L30" s="8" t="s">
        <v>247</v>
      </c>
      <c r="M30" s="3" t="s">
        <v>29</v>
      </c>
      <c r="N30" s="3" t="s">
        <v>17</v>
      </c>
      <c r="O30" s="3" t="s">
        <v>28</v>
      </c>
      <c r="P30" s="3" t="s">
        <v>30</v>
      </c>
      <c r="Q30" s="10" t="s">
        <v>108</v>
      </c>
      <c r="R30" s="2" t="s">
        <v>174</v>
      </c>
      <c r="S30" s="2" t="s">
        <v>175</v>
      </c>
      <c r="T30" s="2" t="s">
        <v>176</v>
      </c>
    </row>
    <row r="31" spans="1:18" s="231" customFormat="1" ht="15.75">
      <c r="A31" s="25" t="s">
        <v>145</v>
      </c>
      <c r="B31" s="35" t="s">
        <v>242</v>
      </c>
      <c r="C31" s="202">
        <v>465</v>
      </c>
      <c r="D31" s="202">
        <v>468</v>
      </c>
      <c r="E31" s="35"/>
      <c r="F31" s="35">
        <v>421</v>
      </c>
      <c r="G31" s="35"/>
      <c r="H31" s="35"/>
      <c r="I31" s="35"/>
      <c r="J31" s="202">
        <v>467</v>
      </c>
      <c r="K31" s="202">
        <v>442</v>
      </c>
      <c r="L31" s="196">
        <v>417</v>
      </c>
      <c r="M31" s="158">
        <f>SUM(C31:L31)</f>
        <v>2680</v>
      </c>
      <c r="N31" s="193">
        <v>6</v>
      </c>
      <c r="O31" s="193">
        <v>2</v>
      </c>
      <c r="P31" s="193">
        <v>111</v>
      </c>
      <c r="Q31" s="193">
        <v>2</v>
      </c>
      <c r="R31" s="231">
        <v>1</v>
      </c>
    </row>
    <row r="32" spans="1:18" s="106" customFormat="1" ht="15.75">
      <c r="A32" s="19" t="s">
        <v>146</v>
      </c>
      <c r="B32" s="102" t="s">
        <v>194</v>
      </c>
      <c r="C32" s="102">
        <v>428</v>
      </c>
      <c r="D32" s="250">
        <v>450</v>
      </c>
      <c r="E32" s="250">
        <v>440</v>
      </c>
      <c r="F32" s="34"/>
      <c r="G32" s="34"/>
      <c r="H32" s="34"/>
      <c r="I32" s="34">
        <v>415</v>
      </c>
      <c r="J32" s="250">
        <v>436</v>
      </c>
      <c r="K32" s="250">
        <v>433</v>
      </c>
      <c r="L32" s="111"/>
      <c r="M32" s="141">
        <f aca="true" t="shared" si="1" ref="M32:M46">SUM(C32:L32)</f>
        <v>2602</v>
      </c>
      <c r="N32" s="103">
        <v>6</v>
      </c>
      <c r="O32" s="103">
        <v>2</v>
      </c>
      <c r="P32" s="103">
        <v>55</v>
      </c>
      <c r="Q32" s="103">
        <v>2</v>
      </c>
      <c r="R32" s="106">
        <v>1</v>
      </c>
    </row>
    <row r="33" spans="1:18" s="231" customFormat="1" ht="15.75">
      <c r="A33" s="25" t="s">
        <v>147</v>
      </c>
      <c r="B33" s="39" t="s">
        <v>238</v>
      </c>
      <c r="C33" s="47">
        <v>425</v>
      </c>
      <c r="D33" s="202">
        <v>459</v>
      </c>
      <c r="E33" s="202">
        <v>449</v>
      </c>
      <c r="F33" s="35"/>
      <c r="G33" s="35">
        <v>388</v>
      </c>
      <c r="H33" s="35"/>
      <c r="I33" s="35"/>
      <c r="J33" s="35">
        <v>416</v>
      </c>
      <c r="K33" s="202">
        <v>457</v>
      </c>
      <c r="L33" s="118"/>
      <c r="M33" s="158">
        <f t="shared" si="1"/>
        <v>2594</v>
      </c>
      <c r="N33" s="193">
        <v>5</v>
      </c>
      <c r="O33" s="193">
        <v>3</v>
      </c>
      <c r="P33" s="193">
        <v>218</v>
      </c>
      <c r="Q33" s="193">
        <v>2</v>
      </c>
      <c r="R33" s="231">
        <v>1</v>
      </c>
    </row>
    <row r="34" spans="1:18" s="23" customFormat="1" ht="15.75">
      <c r="A34" s="204" t="s">
        <v>148</v>
      </c>
      <c r="B34" s="206" t="s">
        <v>15</v>
      </c>
      <c r="C34" s="250">
        <v>433</v>
      </c>
      <c r="D34" s="250">
        <v>437</v>
      </c>
      <c r="E34" s="34">
        <v>423</v>
      </c>
      <c r="F34" s="34"/>
      <c r="G34" s="34"/>
      <c r="H34" s="250">
        <v>434</v>
      </c>
      <c r="I34" s="34"/>
      <c r="J34" s="34"/>
      <c r="K34" s="250">
        <v>465</v>
      </c>
      <c r="L34" s="255">
        <v>401</v>
      </c>
      <c r="M34" s="29">
        <f t="shared" si="1"/>
        <v>2593</v>
      </c>
      <c r="N34" s="19">
        <v>6</v>
      </c>
      <c r="O34" s="19">
        <v>2</v>
      </c>
      <c r="P34" s="19">
        <v>82</v>
      </c>
      <c r="Q34" s="19">
        <v>2</v>
      </c>
      <c r="R34" s="23">
        <v>1</v>
      </c>
    </row>
    <row r="35" spans="1:18" s="27" customFormat="1" ht="15.75">
      <c r="A35" s="25" t="s">
        <v>149</v>
      </c>
      <c r="B35" s="35" t="s">
        <v>21</v>
      </c>
      <c r="C35" s="47">
        <v>420</v>
      </c>
      <c r="D35" s="202">
        <v>461</v>
      </c>
      <c r="E35" s="35"/>
      <c r="F35" s="35"/>
      <c r="G35" s="202">
        <v>452</v>
      </c>
      <c r="H35" s="35"/>
      <c r="I35" s="35">
        <v>374</v>
      </c>
      <c r="J35" s="202">
        <v>454</v>
      </c>
      <c r="K35" s="202">
        <v>453</v>
      </c>
      <c r="L35" s="258"/>
      <c r="M35" s="28">
        <f t="shared" si="1"/>
        <v>2614</v>
      </c>
      <c r="N35" s="25">
        <v>6</v>
      </c>
      <c r="O35" s="25">
        <v>2</v>
      </c>
      <c r="P35" s="25">
        <v>74</v>
      </c>
      <c r="Q35" s="25">
        <v>2</v>
      </c>
      <c r="R35" s="27">
        <v>1</v>
      </c>
    </row>
    <row r="36" spans="1:18" s="211" customFormat="1" ht="15.75">
      <c r="A36" s="83" t="s">
        <v>150</v>
      </c>
      <c r="B36" s="95" t="s">
        <v>20</v>
      </c>
      <c r="C36" s="102"/>
      <c r="D36" s="34">
        <v>415</v>
      </c>
      <c r="E36" s="34">
        <v>406</v>
      </c>
      <c r="F36" s="34"/>
      <c r="G36" s="250">
        <v>444</v>
      </c>
      <c r="H36" s="250">
        <v>453</v>
      </c>
      <c r="I36" s="34"/>
      <c r="J36" s="250">
        <v>447</v>
      </c>
      <c r="K36" s="250">
        <v>484</v>
      </c>
      <c r="L36" s="187"/>
      <c r="M36" s="360">
        <f t="shared" si="1"/>
        <v>2649</v>
      </c>
      <c r="N36" s="204">
        <v>6</v>
      </c>
      <c r="O36" s="204">
        <v>2</v>
      </c>
      <c r="P36" s="204">
        <v>251</v>
      </c>
      <c r="Q36" s="204">
        <v>2</v>
      </c>
      <c r="R36" s="211">
        <v>1</v>
      </c>
    </row>
    <row r="37" spans="1:20" s="27" customFormat="1" ht="15.75">
      <c r="A37" s="87" t="s">
        <v>151</v>
      </c>
      <c r="B37" s="97" t="s">
        <v>22</v>
      </c>
      <c r="C37" s="47">
        <v>428</v>
      </c>
      <c r="D37" s="202">
        <v>470</v>
      </c>
      <c r="E37" s="202">
        <v>466</v>
      </c>
      <c r="F37" s="35"/>
      <c r="G37" s="35">
        <v>395</v>
      </c>
      <c r="H37" s="35"/>
      <c r="I37" s="202">
        <v>452</v>
      </c>
      <c r="J37" s="35">
        <v>445</v>
      </c>
      <c r="K37" s="35"/>
      <c r="L37" s="258"/>
      <c r="M37" s="28">
        <f t="shared" si="1"/>
        <v>2656</v>
      </c>
      <c r="N37" s="25">
        <v>3</v>
      </c>
      <c r="O37" s="25">
        <v>5</v>
      </c>
      <c r="P37" s="25">
        <v>-19</v>
      </c>
      <c r="Q37" s="25">
        <v>0</v>
      </c>
      <c r="T37" s="27">
        <v>1</v>
      </c>
    </row>
    <row r="38" spans="1:18" s="23" customFormat="1" ht="15.75">
      <c r="A38" s="204" t="s">
        <v>152</v>
      </c>
      <c r="B38" s="205" t="s">
        <v>195</v>
      </c>
      <c r="C38" s="102"/>
      <c r="D38" s="34">
        <v>431</v>
      </c>
      <c r="E38" s="250">
        <v>434</v>
      </c>
      <c r="F38" s="34"/>
      <c r="G38" s="34">
        <v>422</v>
      </c>
      <c r="H38" s="250">
        <v>438</v>
      </c>
      <c r="I38" s="34">
        <v>395</v>
      </c>
      <c r="J38" s="250">
        <v>472</v>
      </c>
      <c r="K38" s="34"/>
      <c r="L38" s="255"/>
      <c r="M38" s="29">
        <f t="shared" si="1"/>
        <v>2592</v>
      </c>
      <c r="N38" s="19">
        <v>5</v>
      </c>
      <c r="O38" s="19">
        <v>3</v>
      </c>
      <c r="P38" s="19">
        <v>10</v>
      </c>
      <c r="Q38" s="19">
        <v>2</v>
      </c>
      <c r="R38" s="23">
        <v>1</v>
      </c>
    </row>
    <row r="39" spans="1:18" s="27" customFormat="1" ht="15.75">
      <c r="A39" s="87" t="s">
        <v>153</v>
      </c>
      <c r="B39" s="93" t="s">
        <v>196</v>
      </c>
      <c r="C39" s="202">
        <v>409</v>
      </c>
      <c r="D39" s="202">
        <v>422</v>
      </c>
      <c r="E39" s="35"/>
      <c r="F39" s="35"/>
      <c r="G39" s="35">
        <v>395</v>
      </c>
      <c r="H39" s="35"/>
      <c r="I39" s="202">
        <v>420</v>
      </c>
      <c r="J39" s="35">
        <v>392</v>
      </c>
      <c r="K39" s="202">
        <v>408</v>
      </c>
      <c r="L39" s="258"/>
      <c r="M39" s="28">
        <f t="shared" si="1"/>
        <v>2446</v>
      </c>
      <c r="N39" s="25">
        <v>6</v>
      </c>
      <c r="O39" s="25">
        <v>2</v>
      </c>
      <c r="P39" s="25">
        <v>145</v>
      </c>
      <c r="Q39" s="25">
        <v>2</v>
      </c>
      <c r="R39" s="27">
        <v>1</v>
      </c>
    </row>
    <row r="40" spans="1:18" s="106" customFormat="1" ht="15.75">
      <c r="A40" s="19" t="s">
        <v>154</v>
      </c>
      <c r="B40" s="34" t="s">
        <v>192</v>
      </c>
      <c r="C40" s="250">
        <v>429</v>
      </c>
      <c r="D40" s="250">
        <v>443</v>
      </c>
      <c r="E40" s="250">
        <v>446</v>
      </c>
      <c r="F40" s="34"/>
      <c r="G40" s="34"/>
      <c r="H40" s="34"/>
      <c r="I40" s="34">
        <v>414</v>
      </c>
      <c r="J40" s="250">
        <v>428</v>
      </c>
      <c r="K40" s="250">
        <v>437</v>
      </c>
      <c r="L40" s="111"/>
      <c r="M40" s="141">
        <f t="shared" si="1"/>
        <v>2597</v>
      </c>
      <c r="N40" s="103">
        <v>7</v>
      </c>
      <c r="O40" s="103">
        <v>1</v>
      </c>
      <c r="P40" s="103">
        <v>93</v>
      </c>
      <c r="Q40" s="103">
        <v>2</v>
      </c>
      <c r="R40" s="106">
        <v>1</v>
      </c>
    </row>
    <row r="41" spans="1:18" s="27" customFormat="1" ht="15.75">
      <c r="A41" s="87" t="s">
        <v>155</v>
      </c>
      <c r="B41" s="93" t="s">
        <v>272</v>
      </c>
      <c r="C41" s="202">
        <v>415</v>
      </c>
      <c r="D41" s="202">
        <v>442</v>
      </c>
      <c r="E41" s="35">
        <v>409</v>
      </c>
      <c r="F41" s="35"/>
      <c r="G41" s="202">
        <v>419</v>
      </c>
      <c r="H41" s="35"/>
      <c r="I41" s="35"/>
      <c r="J41" s="202">
        <v>422</v>
      </c>
      <c r="K41" s="202">
        <v>465</v>
      </c>
      <c r="L41" s="258"/>
      <c r="M41" s="28">
        <f t="shared" si="1"/>
        <v>2572</v>
      </c>
      <c r="N41" s="25">
        <v>7</v>
      </c>
      <c r="O41" s="25">
        <v>1</v>
      </c>
      <c r="P41" s="25">
        <v>187</v>
      </c>
      <c r="Q41" s="25">
        <v>2</v>
      </c>
      <c r="R41" s="27">
        <v>1</v>
      </c>
    </row>
    <row r="42" spans="1:20" s="211" customFormat="1" ht="15.75">
      <c r="A42" s="83" t="s">
        <v>156</v>
      </c>
      <c r="B42" s="95" t="s">
        <v>19</v>
      </c>
      <c r="C42" s="102"/>
      <c r="D42" s="34">
        <v>422</v>
      </c>
      <c r="E42" s="34">
        <v>416</v>
      </c>
      <c r="F42" s="34"/>
      <c r="G42" s="250">
        <v>452</v>
      </c>
      <c r="H42" s="250">
        <v>435</v>
      </c>
      <c r="I42" s="34"/>
      <c r="J42" s="34">
        <v>422</v>
      </c>
      <c r="K42" s="250">
        <v>447</v>
      </c>
      <c r="L42" s="187"/>
      <c r="M42" s="360">
        <f t="shared" si="1"/>
        <v>2594</v>
      </c>
      <c r="N42" s="204">
        <v>3</v>
      </c>
      <c r="O42" s="204">
        <v>5</v>
      </c>
      <c r="P42" s="204">
        <v>-19</v>
      </c>
      <c r="Q42" s="204">
        <v>0</v>
      </c>
      <c r="T42" s="211">
        <v>1</v>
      </c>
    </row>
    <row r="43" spans="1:20" s="27" customFormat="1" ht="15.75">
      <c r="A43" s="87" t="s">
        <v>157</v>
      </c>
      <c r="B43" s="97" t="s">
        <v>18</v>
      </c>
      <c r="C43" s="47"/>
      <c r="D43" s="202">
        <v>452</v>
      </c>
      <c r="E43" s="35">
        <v>403</v>
      </c>
      <c r="F43" s="35"/>
      <c r="G43" s="35">
        <v>404</v>
      </c>
      <c r="H43" s="35"/>
      <c r="I43" s="35">
        <v>429</v>
      </c>
      <c r="J43" s="202">
        <v>442</v>
      </c>
      <c r="K43" s="434">
        <v>482</v>
      </c>
      <c r="L43" s="258"/>
      <c r="M43" s="28">
        <f t="shared" si="1"/>
        <v>2612</v>
      </c>
      <c r="N43" s="25">
        <v>3</v>
      </c>
      <c r="O43" s="25">
        <v>5</v>
      </c>
      <c r="P43" s="25">
        <v>-6</v>
      </c>
      <c r="Q43" s="25">
        <v>0</v>
      </c>
      <c r="T43" s="27">
        <v>1</v>
      </c>
    </row>
    <row r="44" spans="1:18" s="23" customFormat="1" ht="15.75">
      <c r="A44" s="204" t="s">
        <v>243</v>
      </c>
      <c r="B44" s="206" t="s">
        <v>25</v>
      </c>
      <c r="C44" s="250">
        <v>441</v>
      </c>
      <c r="D44" s="250">
        <v>459</v>
      </c>
      <c r="E44" s="34"/>
      <c r="F44" s="34"/>
      <c r="G44" s="34"/>
      <c r="H44" s="34">
        <v>429</v>
      </c>
      <c r="I44" s="34">
        <v>409</v>
      </c>
      <c r="J44" s="34">
        <v>433</v>
      </c>
      <c r="K44" s="250">
        <v>485</v>
      </c>
      <c r="L44" s="255"/>
      <c r="M44" s="29">
        <f t="shared" si="1"/>
        <v>2656</v>
      </c>
      <c r="N44" s="19">
        <v>5</v>
      </c>
      <c r="O44" s="19">
        <v>3</v>
      </c>
      <c r="P44" s="19">
        <v>12</v>
      </c>
      <c r="Q44" s="19">
        <v>2</v>
      </c>
      <c r="R44" s="23">
        <v>1</v>
      </c>
    </row>
    <row r="45" spans="1:18" s="106" customFormat="1" ht="15.75">
      <c r="A45" s="19" t="s">
        <v>244</v>
      </c>
      <c r="B45" s="102" t="s">
        <v>193</v>
      </c>
      <c r="C45" s="435">
        <v>455</v>
      </c>
      <c r="D45" s="34">
        <v>424</v>
      </c>
      <c r="E45" s="435">
        <v>456</v>
      </c>
      <c r="F45" s="34"/>
      <c r="G45" s="435">
        <v>461</v>
      </c>
      <c r="H45" s="34"/>
      <c r="I45" s="435">
        <v>426</v>
      </c>
      <c r="J45" s="34"/>
      <c r="K45" s="34"/>
      <c r="L45" s="111">
        <v>373</v>
      </c>
      <c r="M45" s="141">
        <f t="shared" si="1"/>
        <v>2595</v>
      </c>
      <c r="N45" s="103">
        <v>6</v>
      </c>
      <c r="O45" s="103">
        <v>2</v>
      </c>
      <c r="P45" s="103">
        <v>130</v>
      </c>
      <c r="Q45" s="103">
        <v>2</v>
      </c>
      <c r="R45" s="106">
        <v>1</v>
      </c>
    </row>
    <row r="46" spans="1:18" s="27" customFormat="1" ht="15.75">
      <c r="A46" s="87" t="s">
        <v>266</v>
      </c>
      <c r="B46" s="97" t="s">
        <v>241</v>
      </c>
      <c r="C46" s="202">
        <v>485</v>
      </c>
      <c r="D46" s="35">
        <v>439</v>
      </c>
      <c r="E46" s="202">
        <v>455</v>
      </c>
      <c r="F46" s="35"/>
      <c r="G46" s="202">
        <v>220</v>
      </c>
      <c r="H46" s="35"/>
      <c r="I46" s="202">
        <v>222</v>
      </c>
      <c r="J46" s="202">
        <v>445</v>
      </c>
      <c r="K46" s="35">
        <v>440</v>
      </c>
      <c r="L46" s="258"/>
      <c r="M46" s="28">
        <f t="shared" si="1"/>
        <v>2706</v>
      </c>
      <c r="N46" s="25">
        <v>6</v>
      </c>
      <c r="O46" s="25">
        <v>2</v>
      </c>
      <c r="P46" s="25">
        <v>126</v>
      </c>
      <c r="Q46" s="25">
        <v>2</v>
      </c>
      <c r="R46" s="27">
        <v>1</v>
      </c>
    </row>
    <row r="47" spans="1:20" s="148" customFormat="1" ht="16.5" thickBot="1">
      <c r="A47" s="145" t="s">
        <v>267</v>
      </c>
      <c r="B47" s="149" t="s">
        <v>234</v>
      </c>
      <c r="C47" s="419"/>
      <c r="D47" s="416"/>
      <c r="E47" s="416"/>
      <c r="F47" s="416"/>
      <c r="G47" s="416"/>
      <c r="H47" s="416"/>
      <c r="I47" s="416"/>
      <c r="J47" s="416"/>
      <c r="K47" s="416"/>
      <c r="L47" s="369"/>
      <c r="M47" s="383" t="s">
        <v>234</v>
      </c>
      <c r="N47" s="384"/>
      <c r="O47" s="384"/>
      <c r="P47" s="384"/>
      <c r="Q47" s="384"/>
      <c r="R47" s="153"/>
      <c r="S47" s="153"/>
      <c r="T47" s="153"/>
    </row>
    <row r="48" spans="3:20" ht="16.5" thickTop="1">
      <c r="C48" s="54">
        <f aca="true" t="shared" si="2" ref="C48:L48">SUM(C31:C47)</f>
        <v>5233</v>
      </c>
      <c r="D48" s="54">
        <f>SUM(D31:D35)+SUM(D36:D47)</f>
        <v>7094</v>
      </c>
      <c r="E48" s="54">
        <f t="shared" si="2"/>
        <v>5203</v>
      </c>
      <c r="F48" s="54">
        <f t="shared" si="2"/>
        <v>421</v>
      </c>
      <c r="G48" s="54">
        <f>SUM(G31:G45)+SUM(G47)</f>
        <v>4232</v>
      </c>
      <c r="H48" s="54">
        <f t="shared" si="2"/>
        <v>2189</v>
      </c>
      <c r="I48" s="54">
        <f>SUM(I31:I45)+SUM(I47)</f>
        <v>3734</v>
      </c>
      <c r="J48" s="54">
        <f t="shared" si="2"/>
        <v>6121</v>
      </c>
      <c r="K48" s="54">
        <f t="shared" si="2"/>
        <v>5898</v>
      </c>
      <c r="L48" s="54">
        <f t="shared" si="2"/>
        <v>1191</v>
      </c>
      <c r="N48" s="1">
        <f>SUM(N31:N47)</f>
        <v>86</v>
      </c>
      <c r="O48" s="1">
        <f>SUM(O31:O47)</f>
        <v>42</v>
      </c>
      <c r="P48" s="1">
        <f>SUM(P31:P47)</f>
        <v>1450</v>
      </c>
      <c r="Q48" s="1">
        <f>SUM(Q31:Q47)</f>
        <v>26</v>
      </c>
      <c r="R48" s="1">
        <f>SUM(R31:R47)+R23</f>
        <v>26</v>
      </c>
      <c r="S48" s="1">
        <f>SUM(S31:S47)+S23</f>
        <v>1</v>
      </c>
      <c r="T48" s="1">
        <f>SUM(T31:T47)+T23</f>
        <v>5</v>
      </c>
    </row>
    <row r="49" spans="2:12" ht="15.75">
      <c r="B49" s="57" t="s">
        <v>231</v>
      </c>
      <c r="C49" s="1">
        <f>COUNT(C31:C47)</f>
        <v>12</v>
      </c>
      <c r="D49" s="1">
        <f>COUNT(D31:D35)+COUNT(D36:D47)</f>
        <v>16</v>
      </c>
      <c r="E49" s="1">
        <f aca="true" t="shared" si="3" ref="E49:L49">COUNT(E31:E47)</f>
        <v>12</v>
      </c>
      <c r="F49" s="1">
        <f t="shared" si="3"/>
        <v>1</v>
      </c>
      <c r="G49" s="1">
        <f>COUNT(G31:G45)+COUNT(G47:G47)</f>
        <v>10</v>
      </c>
      <c r="H49" s="1">
        <f t="shared" si="3"/>
        <v>5</v>
      </c>
      <c r="I49" s="1">
        <f>COUNT(I31:I45)+COUNT(I47:I47)</f>
        <v>9</v>
      </c>
      <c r="J49" s="1">
        <f t="shared" si="3"/>
        <v>14</v>
      </c>
      <c r="K49" s="1">
        <f t="shared" si="3"/>
        <v>13</v>
      </c>
      <c r="L49" s="1">
        <f t="shared" si="3"/>
        <v>3</v>
      </c>
    </row>
    <row r="50" spans="2:20" ht="31.5">
      <c r="B50" s="11" t="s">
        <v>228</v>
      </c>
      <c r="C50" s="16">
        <f>C48/C49</f>
        <v>436.0833333333333</v>
      </c>
      <c r="D50" s="16">
        <f>D48/D49</f>
        <v>443.375</v>
      </c>
      <c r="E50" s="16">
        <f aca="true" t="shared" si="4" ref="E50:L50">E48/E49</f>
        <v>433.5833333333333</v>
      </c>
      <c r="F50" s="16">
        <f t="shared" si="4"/>
        <v>421</v>
      </c>
      <c r="G50" s="16">
        <f t="shared" si="4"/>
        <v>423.2</v>
      </c>
      <c r="H50" s="16">
        <f t="shared" si="4"/>
        <v>437.8</v>
      </c>
      <c r="I50" s="16">
        <f t="shared" si="4"/>
        <v>414.8888888888889</v>
      </c>
      <c r="J50" s="16">
        <f t="shared" si="4"/>
        <v>437.2142857142857</v>
      </c>
      <c r="K50" s="16">
        <f t="shared" si="4"/>
        <v>453.6923076923077</v>
      </c>
      <c r="L50" s="16">
        <f t="shared" si="4"/>
        <v>397</v>
      </c>
      <c r="M50" s="3" t="s">
        <v>29</v>
      </c>
      <c r="N50" s="3" t="s">
        <v>109</v>
      </c>
      <c r="O50" s="3"/>
      <c r="P50" s="3" t="s">
        <v>30</v>
      </c>
      <c r="Q50" s="10" t="s">
        <v>110</v>
      </c>
      <c r="R50"/>
      <c r="S50" s="63" t="s">
        <v>118</v>
      </c>
      <c r="T50" s="63" t="s">
        <v>209</v>
      </c>
    </row>
    <row r="51" spans="12:20" ht="15.75">
      <c r="L51" s="16"/>
      <c r="M51" s="6">
        <f>SUM(M31:M47)+M26</f>
        <v>83401</v>
      </c>
      <c r="N51" s="6">
        <f>SUM(N31:N47)+N26</f>
        <v>174</v>
      </c>
      <c r="O51" s="6">
        <f>SUM(O31:O47)+O26</f>
        <v>82</v>
      </c>
      <c r="P51" s="6">
        <f>SUM(P31:P47)+P26</f>
        <v>2804</v>
      </c>
      <c r="Q51" s="6">
        <f>SUM(Q31:Q47)+Q26</f>
        <v>53</v>
      </c>
      <c r="R51"/>
      <c r="S51" s="2">
        <f>N51-O51</f>
        <v>92</v>
      </c>
      <c r="T51" s="46">
        <f>SUM(R48:T48)</f>
        <v>32</v>
      </c>
    </row>
    <row r="52" spans="18:19" ht="15.75">
      <c r="R52"/>
      <c r="S52"/>
    </row>
    <row r="53" spans="15:16" ht="15.75">
      <c r="O53" s="1" t="s">
        <v>120</v>
      </c>
      <c r="P53" s="18">
        <f>M51/T51</f>
        <v>2606.28125</v>
      </c>
    </row>
  </sheetData>
  <sheetProtection/>
  <mergeCells count="10">
    <mergeCell ref="K1:L1"/>
    <mergeCell ref="E1:F1"/>
    <mergeCell ref="K2:L2"/>
    <mergeCell ref="G1:I1"/>
    <mergeCell ref="P4:Q4"/>
    <mergeCell ref="C27:D27"/>
    <mergeCell ref="N25:O25"/>
    <mergeCell ref="J27:K27"/>
    <mergeCell ref="F27:G27"/>
    <mergeCell ref="C4:N4"/>
  </mergeCells>
  <printOptions/>
  <pageMargins left="0.75" right="0.75" top="1" bottom="1" header="0.5" footer="0.5"/>
  <pageSetup blackAndWhite="1" horizontalDpi="600" verticalDpi="600" orientation="portrait" paperSize="9" r:id="rId1"/>
  <ignoredErrors>
    <ignoredError sqref="D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S54"/>
  <sheetViews>
    <sheetView zoomScale="90" zoomScaleNormal="90" zoomScalePageLayoutView="0" workbookViewId="0" topLeftCell="B28">
      <selection activeCell="I48" sqref="I48"/>
    </sheetView>
  </sheetViews>
  <sheetFormatPr defaultColWidth="9.00390625" defaultRowHeight="12.75"/>
  <cols>
    <col min="1" max="1" width="17.125" style="1" customWidth="1"/>
    <col min="2" max="2" width="21.00390625" style="1" bestFit="1" customWidth="1"/>
    <col min="3" max="3" width="10.00390625" style="1" customWidth="1"/>
    <col min="4" max="8" width="9.125" style="1" customWidth="1"/>
    <col min="9" max="9" width="11.375" style="1" customWidth="1"/>
    <col min="10" max="10" width="11.25390625" style="1" customWidth="1"/>
    <col min="11" max="11" width="8.625" style="1" customWidth="1"/>
    <col min="12" max="12" width="17.75390625" style="1" bestFit="1" customWidth="1"/>
    <col min="13" max="13" width="11.25390625" style="1" customWidth="1"/>
    <col min="14" max="14" width="10.375" style="1" customWidth="1"/>
    <col min="15" max="15" width="13.375" style="1" customWidth="1"/>
    <col min="16" max="16" width="11.875" style="1" customWidth="1"/>
    <col min="18" max="18" width="13.25390625" style="0" customWidth="1"/>
    <col min="19" max="19" width="11.125" style="0" customWidth="1"/>
  </cols>
  <sheetData>
    <row r="1" spans="1:13" ht="15.75">
      <c r="A1" s="48" t="s">
        <v>133</v>
      </c>
      <c r="B1" s="49" t="s">
        <v>136</v>
      </c>
      <c r="C1" s="49" t="s">
        <v>134</v>
      </c>
      <c r="D1" s="459" t="s">
        <v>135</v>
      </c>
      <c r="E1" s="459"/>
      <c r="G1" s="455" t="s">
        <v>143</v>
      </c>
      <c r="H1" s="455"/>
      <c r="I1" s="11" t="s">
        <v>144</v>
      </c>
      <c r="J1" s="465" t="s">
        <v>118</v>
      </c>
      <c r="K1" s="465"/>
      <c r="L1" s="1" t="s">
        <v>120</v>
      </c>
      <c r="M1" s="18">
        <f>L26/S26</f>
        <v>2589.375</v>
      </c>
    </row>
    <row r="2" spans="7:13" ht="15.75">
      <c r="G2" s="1">
        <f>M26+M49</f>
        <v>145</v>
      </c>
      <c r="H2" s="1">
        <f>N26+N49</f>
        <v>111</v>
      </c>
      <c r="I2" s="1">
        <f>P26+P49</f>
        <v>44</v>
      </c>
      <c r="J2" s="460">
        <f>G2-H2</f>
        <v>34</v>
      </c>
      <c r="K2" s="460"/>
      <c r="L2" s="1" t="s">
        <v>216</v>
      </c>
      <c r="M2" s="6">
        <f>L6+L8+L9+L11+L13+L15+L17+L19+L21+L32+L34+L36+L38+L40+L42+L45</f>
        <v>41363</v>
      </c>
    </row>
    <row r="4" spans="3:19" ht="15.75">
      <c r="C4" s="461"/>
      <c r="D4" s="461"/>
      <c r="E4" s="461"/>
      <c r="F4" s="461"/>
      <c r="G4" s="461"/>
      <c r="H4" s="461"/>
      <c r="I4" s="461"/>
      <c r="J4" s="461"/>
      <c r="K4" s="461"/>
      <c r="M4" s="461" t="s">
        <v>27</v>
      </c>
      <c r="N4" s="461"/>
      <c r="Q4" s="2"/>
      <c r="R4" s="2"/>
      <c r="S4" s="2"/>
    </row>
    <row r="5" spans="2:19" ht="32.25" thickBot="1">
      <c r="B5" s="3" t="s">
        <v>24</v>
      </c>
      <c r="C5" s="8" t="s">
        <v>77</v>
      </c>
      <c r="D5" s="8" t="s">
        <v>78</v>
      </c>
      <c r="E5" s="8" t="s">
        <v>79</v>
      </c>
      <c r="F5" s="8" t="s">
        <v>80</v>
      </c>
      <c r="G5" s="8" t="s">
        <v>81</v>
      </c>
      <c r="H5" s="12" t="s">
        <v>128</v>
      </c>
      <c r="I5" s="180" t="s">
        <v>129</v>
      </c>
      <c r="J5" s="8" t="s">
        <v>105</v>
      </c>
      <c r="K5" s="8" t="s">
        <v>208</v>
      </c>
      <c r="L5" s="3" t="s">
        <v>29</v>
      </c>
      <c r="M5" s="3" t="s">
        <v>18</v>
      </c>
      <c r="N5" s="3" t="s">
        <v>28</v>
      </c>
      <c r="O5" s="3" t="s">
        <v>30</v>
      </c>
      <c r="P5" s="10" t="s">
        <v>108</v>
      </c>
      <c r="Q5" s="2" t="s">
        <v>174</v>
      </c>
      <c r="R5" s="2" t="s">
        <v>175</v>
      </c>
      <c r="S5" s="2" t="s">
        <v>176</v>
      </c>
    </row>
    <row r="6" spans="1:19" s="27" customFormat="1" ht="15.75">
      <c r="A6" s="25" t="s">
        <v>0</v>
      </c>
      <c r="B6" s="35" t="s">
        <v>272</v>
      </c>
      <c r="C6" s="202">
        <v>438</v>
      </c>
      <c r="D6" s="202">
        <v>424</v>
      </c>
      <c r="E6" s="202">
        <v>427</v>
      </c>
      <c r="F6" s="202">
        <v>444</v>
      </c>
      <c r="G6" s="93">
        <v>415</v>
      </c>
      <c r="H6" s="93"/>
      <c r="I6" s="203">
        <v>505</v>
      </c>
      <c r="J6" s="93"/>
      <c r="K6" s="101"/>
      <c r="L6" s="200">
        <f aca="true" t="shared" si="0" ref="L6:L22">SUM(C6:K6)</f>
        <v>2653</v>
      </c>
      <c r="M6" s="193">
        <v>7</v>
      </c>
      <c r="N6" s="193">
        <v>1</v>
      </c>
      <c r="O6" s="192">
        <v>250</v>
      </c>
      <c r="P6" s="193">
        <v>2</v>
      </c>
      <c r="Q6" s="26">
        <v>1</v>
      </c>
      <c r="R6" s="26"/>
      <c r="S6" s="26"/>
    </row>
    <row r="7" spans="1:17" s="102" customFormat="1" ht="15.75">
      <c r="A7" s="102" t="s">
        <v>1</v>
      </c>
      <c r="B7" s="34" t="s">
        <v>19</v>
      </c>
      <c r="C7" s="102">
        <v>385</v>
      </c>
      <c r="D7" s="250">
        <v>455</v>
      </c>
      <c r="E7" s="102">
        <v>429</v>
      </c>
      <c r="F7" s="250">
        <v>457</v>
      </c>
      <c r="G7" s="102">
        <v>428</v>
      </c>
      <c r="I7" s="250">
        <v>456</v>
      </c>
      <c r="L7" s="262">
        <f t="shared" si="0"/>
        <v>2610</v>
      </c>
      <c r="M7" s="102">
        <v>5</v>
      </c>
      <c r="N7" s="102">
        <v>3</v>
      </c>
      <c r="O7" s="102">
        <v>32</v>
      </c>
      <c r="P7" s="102">
        <v>2</v>
      </c>
      <c r="Q7" s="102">
        <v>1</v>
      </c>
    </row>
    <row r="8" spans="1:19" s="47" customFormat="1" ht="15.75">
      <c r="A8" s="47" t="s">
        <v>2</v>
      </c>
      <c r="B8" s="47" t="s">
        <v>25</v>
      </c>
      <c r="C8" s="47">
        <v>385</v>
      </c>
      <c r="D8" s="35">
        <v>406</v>
      </c>
      <c r="E8" s="35">
        <v>402</v>
      </c>
      <c r="F8" s="202">
        <v>428</v>
      </c>
      <c r="G8" s="35">
        <v>404</v>
      </c>
      <c r="H8" s="35"/>
      <c r="I8" s="202">
        <v>495</v>
      </c>
      <c r="J8" s="35"/>
      <c r="K8" s="35"/>
      <c r="L8" s="263">
        <f t="shared" si="0"/>
        <v>2520</v>
      </c>
      <c r="M8" s="47">
        <v>2</v>
      </c>
      <c r="N8" s="47">
        <v>6</v>
      </c>
      <c r="O8" s="245">
        <v>-26</v>
      </c>
      <c r="P8" s="47">
        <v>0</v>
      </c>
      <c r="S8" s="47">
        <v>1</v>
      </c>
    </row>
    <row r="9" spans="1:19" s="47" customFormat="1" ht="15.75">
      <c r="A9" s="47" t="s">
        <v>3</v>
      </c>
      <c r="B9" s="39" t="s">
        <v>17</v>
      </c>
      <c r="D9" s="35">
        <v>396</v>
      </c>
      <c r="E9" s="35">
        <v>392</v>
      </c>
      <c r="F9" s="202">
        <v>440</v>
      </c>
      <c r="G9" s="35">
        <v>399</v>
      </c>
      <c r="H9" s="35"/>
      <c r="I9" s="202">
        <v>464</v>
      </c>
      <c r="J9" s="35"/>
      <c r="K9" s="35">
        <v>419</v>
      </c>
      <c r="L9" s="263">
        <f t="shared" si="0"/>
        <v>2510</v>
      </c>
      <c r="M9" s="47">
        <v>2</v>
      </c>
      <c r="N9" s="47">
        <v>6</v>
      </c>
      <c r="O9" s="245">
        <v>-81</v>
      </c>
      <c r="P9" s="47">
        <v>0</v>
      </c>
      <c r="S9" s="47">
        <v>1</v>
      </c>
    </row>
    <row r="10" spans="1:17" s="102" customFormat="1" ht="15.75">
      <c r="A10" s="102" t="s">
        <v>4</v>
      </c>
      <c r="B10" s="102" t="s">
        <v>193</v>
      </c>
      <c r="C10" s="102">
        <v>415</v>
      </c>
      <c r="D10" s="250">
        <v>450</v>
      </c>
      <c r="E10" s="34"/>
      <c r="F10" s="250">
        <v>430</v>
      </c>
      <c r="G10" s="250">
        <v>425</v>
      </c>
      <c r="H10" s="34"/>
      <c r="I10" s="250">
        <v>448</v>
      </c>
      <c r="J10" s="34"/>
      <c r="K10" s="250">
        <v>439</v>
      </c>
      <c r="L10" s="262">
        <f t="shared" si="0"/>
        <v>2607</v>
      </c>
      <c r="M10" s="102">
        <v>7</v>
      </c>
      <c r="N10" s="102">
        <v>1</v>
      </c>
      <c r="O10" s="168">
        <v>176</v>
      </c>
      <c r="P10" s="102">
        <v>2</v>
      </c>
      <c r="Q10" s="102">
        <v>1</v>
      </c>
    </row>
    <row r="11" spans="1:17" s="47" customFormat="1" ht="15.75">
      <c r="A11" s="47" t="s">
        <v>5</v>
      </c>
      <c r="B11" s="47" t="s">
        <v>241</v>
      </c>
      <c r="D11" s="202">
        <v>452</v>
      </c>
      <c r="E11" s="202">
        <v>439</v>
      </c>
      <c r="F11" s="35">
        <v>217</v>
      </c>
      <c r="G11" s="35">
        <v>183</v>
      </c>
      <c r="H11" s="35"/>
      <c r="I11" s="202">
        <v>448</v>
      </c>
      <c r="J11" s="202">
        <v>466</v>
      </c>
      <c r="K11" s="35">
        <v>435</v>
      </c>
      <c r="L11" s="263">
        <f t="shared" si="0"/>
        <v>2640</v>
      </c>
      <c r="M11" s="47">
        <v>6</v>
      </c>
      <c r="N11" s="47">
        <v>2</v>
      </c>
      <c r="O11" s="245">
        <v>63</v>
      </c>
      <c r="P11" s="47">
        <v>2</v>
      </c>
      <c r="Q11" s="47">
        <v>1</v>
      </c>
    </row>
    <row r="12" spans="1:19" s="146" customFormat="1" ht="15.75">
      <c r="A12" s="146" t="s">
        <v>6</v>
      </c>
      <c r="B12" s="146" t="s">
        <v>234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 t="s">
        <v>234</v>
      </c>
      <c r="M12" s="266"/>
      <c r="N12" s="266"/>
      <c r="O12" s="266"/>
      <c r="P12" s="266"/>
      <c r="Q12" s="266"/>
      <c r="R12" s="266"/>
      <c r="S12" s="266"/>
    </row>
    <row r="13" spans="1:17" s="47" customFormat="1" ht="15.75">
      <c r="A13" s="47" t="s">
        <v>7</v>
      </c>
      <c r="B13" s="35" t="s">
        <v>242</v>
      </c>
      <c r="C13" s="47">
        <v>389</v>
      </c>
      <c r="D13" s="35">
        <v>403</v>
      </c>
      <c r="E13" s="35">
        <v>427</v>
      </c>
      <c r="F13" s="202">
        <v>458</v>
      </c>
      <c r="G13" s="35"/>
      <c r="H13" s="35"/>
      <c r="I13" s="202">
        <v>493</v>
      </c>
      <c r="J13" s="202">
        <v>465</v>
      </c>
      <c r="K13" s="35"/>
      <c r="L13" s="263">
        <f t="shared" si="0"/>
        <v>2635</v>
      </c>
      <c r="M13" s="47">
        <v>5</v>
      </c>
      <c r="N13" s="47">
        <v>3</v>
      </c>
      <c r="O13" s="245">
        <f>L13-2573</f>
        <v>62</v>
      </c>
      <c r="P13" s="47">
        <v>2</v>
      </c>
      <c r="Q13" s="47">
        <v>1</v>
      </c>
    </row>
    <row r="14" spans="1:19" s="102" customFormat="1" ht="15.75">
      <c r="A14" s="102" t="s">
        <v>8</v>
      </c>
      <c r="B14" s="102" t="s">
        <v>194</v>
      </c>
      <c r="D14" s="34"/>
      <c r="E14" s="34">
        <v>421</v>
      </c>
      <c r="F14" s="250">
        <v>437</v>
      </c>
      <c r="G14" s="34">
        <v>392</v>
      </c>
      <c r="H14" s="34"/>
      <c r="I14" s="250">
        <v>469</v>
      </c>
      <c r="J14" s="34">
        <v>429</v>
      </c>
      <c r="K14" s="34">
        <v>426</v>
      </c>
      <c r="L14" s="262">
        <f t="shared" si="0"/>
        <v>2574</v>
      </c>
      <c r="M14" s="102">
        <v>2</v>
      </c>
      <c r="N14" s="102">
        <v>6</v>
      </c>
      <c r="O14" s="102">
        <v>-52</v>
      </c>
      <c r="P14" s="102">
        <v>0</v>
      </c>
      <c r="S14" s="102">
        <v>1</v>
      </c>
    </row>
    <row r="15" spans="1:17" s="47" customFormat="1" ht="15.75">
      <c r="A15" s="47" t="s">
        <v>9</v>
      </c>
      <c r="B15" s="35" t="s">
        <v>238</v>
      </c>
      <c r="C15" s="47">
        <v>443</v>
      </c>
      <c r="D15" s="35">
        <v>423</v>
      </c>
      <c r="E15" s="35"/>
      <c r="F15" s="202">
        <v>452</v>
      </c>
      <c r="G15" s="35"/>
      <c r="H15" s="35"/>
      <c r="I15" s="202">
        <v>456</v>
      </c>
      <c r="J15" s="202">
        <v>446</v>
      </c>
      <c r="K15" s="202">
        <v>445</v>
      </c>
      <c r="L15" s="263">
        <f t="shared" si="0"/>
        <v>2665</v>
      </c>
      <c r="M15" s="47">
        <v>6</v>
      </c>
      <c r="N15" s="47">
        <v>2</v>
      </c>
      <c r="O15" s="245">
        <v>84</v>
      </c>
      <c r="P15" s="47">
        <v>2</v>
      </c>
      <c r="Q15" s="47">
        <v>1</v>
      </c>
    </row>
    <row r="16" spans="1:17" s="102" customFormat="1" ht="15.75">
      <c r="A16" s="102" t="s">
        <v>10</v>
      </c>
      <c r="B16" s="102" t="s">
        <v>15</v>
      </c>
      <c r="C16" s="102">
        <v>427</v>
      </c>
      <c r="D16" s="34"/>
      <c r="E16" s="34">
        <v>416</v>
      </c>
      <c r="F16" s="250">
        <v>437</v>
      </c>
      <c r="G16" s="34"/>
      <c r="H16" s="34"/>
      <c r="I16" s="250">
        <v>470</v>
      </c>
      <c r="J16" s="250">
        <v>455</v>
      </c>
      <c r="K16" s="34">
        <v>389</v>
      </c>
      <c r="L16" s="262">
        <f t="shared" si="0"/>
        <v>2594</v>
      </c>
      <c r="M16" s="168">
        <v>5</v>
      </c>
      <c r="N16" s="102">
        <v>3</v>
      </c>
      <c r="O16" s="102">
        <v>46</v>
      </c>
      <c r="P16" s="102">
        <v>2</v>
      </c>
      <c r="Q16" s="102">
        <v>1</v>
      </c>
    </row>
    <row r="17" spans="1:17" s="47" customFormat="1" ht="15.75">
      <c r="A17" s="47" t="s">
        <v>11</v>
      </c>
      <c r="B17" s="35" t="s">
        <v>21</v>
      </c>
      <c r="C17" s="47">
        <v>405</v>
      </c>
      <c r="D17" s="35">
        <v>410</v>
      </c>
      <c r="E17" s="35"/>
      <c r="F17" s="202">
        <v>416</v>
      </c>
      <c r="G17" s="35">
        <v>397</v>
      </c>
      <c r="H17" s="35"/>
      <c r="I17" s="202">
        <v>488</v>
      </c>
      <c r="J17" s="202">
        <v>435</v>
      </c>
      <c r="K17" s="35"/>
      <c r="L17" s="263">
        <f t="shared" si="0"/>
        <v>2551</v>
      </c>
      <c r="M17" s="47">
        <v>5</v>
      </c>
      <c r="N17" s="47">
        <v>3</v>
      </c>
      <c r="O17" s="47">
        <v>60</v>
      </c>
      <c r="P17" s="47">
        <v>2</v>
      </c>
      <c r="Q17" s="47">
        <v>1</v>
      </c>
    </row>
    <row r="18" spans="1:17" s="102" customFormat="1" ht="15.75">
      <c r="A18" s="102" t="s">
        <v>12</v>
      </c>
      <c r="B18" s="34" t="s">
        <v>20</v>
      </c>
      <c r="C18" s="102">
        <v>426</v>
      </c>
      <c r="D18" s="34"/>
      <c r="E18" s="36">
        <v>428</v>
      </c>
      <c r="F18" s="261">
        <v>451</v>
      </c>
      <c r="G18" s="36"/>
      <c r="H18" s="36"/>
      <c r="I18" s="261">
        <v>439</v>
      </c>
      <c r="J18" s="261">
        <v>438</v>
      </c>
      <c r="K18" s="36">
        <v>410</v>
      </c>
      <c r="L18" s="262">
        <f t="shared" si="0"/>
        <v>2592</v>
      </c>
      <c r="M18" s="102">
        <v>5</v>
      </c>
      <c r="N18" s="102">
        <v>3</v>
      </c>
      <c r="O18" s="102">
        <v>55</v>
      </c>
      <c r="P18" s="102">
        <v>2</v>
      </c>
      <c r="Q18" s="102">
        <v>1</v>
      </c>
    </row>
    <row r="19" spans="1:19" s="47" customFormat="1" ht="15.75">
      <c r="A19" s="47" t="s">
        <v>13</v>
      </c>
      <c r="B19" s="47" t="s">
        <v>22</v>
      </c>
      <c r="C19" s="47">
        <v>408</v>
      </c>
      <c r="D19" s="35">
        <v>419</v>
      </c>
      <c r="E19" s="252">
        <v>430</v>
      </c>
      <c r="F19" s="39">
        <v>423</v>
      </c>
      <c r="G19" s="39">
        <v>404</v>
      </c>
      <c r="H19" s="39"/>
      <c r="I19" s="39"/>
      <c r="J19" s="252">
        <v>429</v>
      </c>
      <c r="K19" s="39"/>
      <c r="L19" s="263">
        <f t="shared" si="0"/>
        <v>2513</v>
      </c>
      <c r="M19" s="47">
        <v>2</v>
      </c>
      <c r="N19" s="47">
        <v>6</v>
      </c>
      <c r="O19" s="47">
        <v>-94</v>
      </c>
      <c r="P19" s="47">
        <v>0</v>
      </c>
      <c r="S19" s="47">
        <v>1</v>
      </c>
    </row>
    <row r="20" spans="1:17" s="102" customFormat="1" ht="15.75">
      <c r="A20" s="102" t="s">
        <v>14</v>
      </c>
      <c r="B20" s="102" t="s">
        <v>195</v>
      </c>
      <c r="D20" s="250">
        <v>490</v>
      </c>
      <c r="E20" s="261">
        <v>464</v>
      </c>
      <c r="F20" s="261">
        <v>436</v>
      </c>
      <c r="G20" s="36"/>
      <c r="H20" s="36"/>
      <c r="I20" s="261">
        <v>469</v>
      </c>
      <c r="J20" s="261">
        <v>448</v>
      </c>
      <c r="K20" s="36">
        <v>425</v>
      </c>
      <c r="L20" s="262">
        <f t="shared" si="0"/>
        <v>2732</v>
      </c>
      <c r="M20" s="102">
        <v>7</v>
      </c>
      <c r="N20" s="102">
        <v>1</v>
      </c>
      <c r="O20" s="168">
        <v>250</v>
      </c>
      <c r="P20" s="102">
        <v>2</v>
      </c>
      <c r="Q20" s="102">
        <v>1</v>
      </c>
    </row>
    <row r="21" spans="1:19" s="47" customFormat="1" ht="15.75">
      <c r="A21" s="47" t="s">
        <v>239</v>
      </c>
      <c r="B21" s="35" t="s">
        <v>196</v>
      </c>
      <c r="C21" s="47">
        <v>357</v>
      </c>
      <c r="D21" s="35">
        <v>404</v>
      </c>
      <c r="E21" s="39">
        <v>371</v>
      </c>
      <c r="F21" s="39"/>
      <c r="G21" s="39">
        <v>381</v>
      </c>
      <c r="H21" s="39"/>
      <c r="I21" s="252">
        <v>405</v>
      </c>
      <c r="J21" s="252">
        <v>413</v>
      </c>
      <c r="K21" s="39"/>
      <c r="L21" s="263">
        <f t="shared" si="0"/>
        <v>2331</v>
      </c>
      <c r="M21" s="47">
        <v>2</v>
      </c>
      <c r="N21" s="47">
        <v>6</v>
      </c>
      <c r="O21" s="47">
        <f>L21-2447</f>
        <v>-116</v>
      </c>
      <c r="P21" s="47">
        <v>0</v>
      </c>
      <c r="S21" s="47">
        <v>1</v>
      </c>
    </row>
    <row r="22" spans="1:19" s="102" customFormat="1" ht="16.5" thickBot="1">
      <c r="A22" s="102" t="s">
        <v>240</v>
      </c>
      <c r="B22" s="34" t="s">
        <v>192</v>
      </c>
      <c r="C22" s="171"/>
      <c r="D22" s="354">
        <v>460</v>
      </c>
      <c r="E22" s="150"/>
      <c r="F22" s="150">
        <v>419</v>
      </c>
      <c r="G22" s="150">
        <v>426</v>
      </c>
      <c r="H22" s="150"/>
      <c r="I22" s="354">
        <v>483</v>
      </c>
      <c r="J22" s="354">
        <v>477</v>
      </c>
      <c r="K22" s="150">
        <v>438</v>
      </c>
      <c r="L22" s="262">
        <f t="shared" si="0"/>
        <v>2703</v>
      </c>
      <c r="M22" s="171">
        <v>5</v>
      </c>
      <c r="N22" s="171">
        <v>3</v>
      </c>
      <c r="O22" s="171">
        <v>177</v>
      </c>
      <c r="P22" s="171">
        <v>2</v>
      </c>
      <c r="Q22" s="171">
        <v>1</v>
      </c>
      <c r="R22" s="171"/>
      <c r="S22" s="171"/>
    </row>
    <row r="23" spans="3:19" ht="16.5" thickTop="1">
      <c r="C23" s="6">
        <f aca="true" t="shared" si="1" ref="C23:J23">SUM(C6:C22)</f>
        <v>4478</v>
      </c>
      <c r="D23" s="6">
        <f t="shared" si="1"/>
        <v>5592</v>
      </c>
      <c r="E23" s="6">
        <f t="shared" si="1"/>
        <v>5046</v>
      </c>
      <c r="F23" s="6">
        <f>SUM(F6:F10)+SUM(F12:F22)</f>
        <v>6128</v>
      </c>
      <c r="G23" s="6">
        <f>SUM(G6:G10)+SUM(G12:G22)</f>
        <v>4071</v>
      </c>
      <c r="H23" s="6">
        <f t="shared" si="1"/>
        <v>0</v>
      </c>
      <c r="I23" s="6">
        <f t="shared" si="1"/>
        <v>6988</v>
      </c>
      <c r="J23" s="6">
        <f t="shared" si="1"/>
        <v>4901</v>
      </c>
      <c r="K23" s="6">
        <f>SUM(K6:K17)+SUM(K18:K22)</f>
        <v>3826</v>
      </c>
      <c r="Q23" s="2">
        <f>SUM(Q6:Q22)</f>
        <v>11</v>
      </c>
      <c r="R23" s="2">
        <f>SUM(R6:R22)</f>
        <v>0</v>
      </c>
      <c r="S23" s="2">
        <f>SUM(S6:S22)</f>
        <v>5</v>
      </c>
    </row>
    <row r="24" spans="2:11" ht="15.75">
      <c r="B24" s="1" t="s">
        <v>213</v>
      </c>
      <c r="C24" s="6">
        <f aca="true" t="shared" si="2" ref="C24:J24">COUNT(C6:C22)</f>
        <v>11</v>
      </c>
      <c r="D24" s="6">
        <f t="shared" si="2"/>
        <v>13</v>
      </c>
      <c r="E24" s="6">
        <f t="shared" si="2"/>
        <v>12</v>
      </c>
      <c r="F24" s="6">
        <f>COUNT(F6:F10)+COUNT(F12:F22)</f>
        <v>14</v>
      </c>
      <c r="G24" s="6">
        <f>COUNT(G6:G10)+COUNT(G12:G22)</f>
        <v>10</v>
      </c>
      <c r="H24" s="6">
        <f t="shared" si="2"/>
        <v>0</v>
      </c>
      <c r="I24" s="6">
        <f t="shared" si="2"/>
        <v>15</v>
      </c>
      <c r="J24" s="6">
        <f t="shared" si="2"/>
        <v>11</v>
      </c>
      <c r="K24" s="6">
        <f>COUNT(K6:K17)+COUNT(K18:K22)</f>
        <v>9</v>
      </c>
    </row>
    <row r="25" spans="2:19" ht="31.5">
      <c r="B25" s="11" t="s">
        <v>119</v>
      </c>
      <c r="C25" s="16">
        <f>C23/C24</f>
        <v>407.09090909090907</v>
      </c>
      <c r="D25" s="16">
        <f>D23/D24</f>
        <v>430.15384615384613</v>
      </c>
      <c r="E25" s="16">
        <f>E23/E24</f>
        <v>420.5</v>
      </c>
      <c r="F25" s="16">
        <f>F23/F24</f>
        <v>437.7142857142857</v>
      </c>
      <c r="G25" s="16">
        <f>G23/G24</f>
        <v>407.1</v>
      </c>
      <c r="H25" s="16"/>
      <c r="I25" s="16">
        <f>I23/I24</f>
        <v>465.8666666666667</v>
      </c>
      <c r="J25" s="16">
        <f>J23/J24</f>
        <v>445.54545454545456</v>
      </c>
      <c r="K25" s="16">
        <f>K23/K24</f>
        <v>425.1111111111111</v>
      </c>
      <c r="L25" s="3" t="s">
        <v>29</v>
      </c>
      <c r="M25" s="461" t="s">
        <v>109</v>
      </c>
      <c r="N25" s="461"/>
      <c r="O25" s="3" t="s">
        <v>30</v>
      </c>
      <c r="P25" s="10" t="s">
        <v>110</v>
      </c>
      <c r="R25" s="63" t="s">
        <v>118</v>
      </c>
      <c r="S25" s="63" t="s">
        <v>209</v>
      </c>
    </row>
    <row r="26" spans="12:19" ht="15.75">
      <c r="L26" s="6">
        <f>SUM(L6:L22)</f>
        <v>41430</v>
      </c>
      <c r="M26" s="1">
        <f>SUM(M6:M22)</f>
        <v>73</v>
      </c>
      <c r="N26" s="1">
        <f>SUM(N6:N22)</f>
        <v>55</v>
      </c>
      <c r="O26" s="1">
        <f>SUM(O6:O22)</f>
        <v>886</v>
      </c>
      <c r="P26" s="1">
        <f>SUM(P6:P22)</f>
        <v>22</v>
      </c>
      <c r="R26" s="2">
        <f>M26-N26</f>
        <v>18</v>
      </c>
      <c r="S26" s="2">
        <f>SUM(Q23:S23)</f>
        <v>16</v>
      </c>
    </row>
    <row r="27" ht="15.75">
      <c r="F27" s="14"/>
    </row>
    <row r="28" spans="3:9" ht="15.75">
      <c r="C28" s="45"/>
      <c r="E28" s="458" t="s">
        <v>124</v>
      </c>
      <c r="F28" s="458"/>
      <c r="H28" s="462" t="s">
        <v>125</v>
      </c>
      <c r="I28" s="462"/>
    </row>
    <row r="29" spans="1:19" ht="16.5" thickBot="1">
      <c r="A29" s="62"/>
      <c r="B29" s="62"/>
      <c r="C29" s="124"/>
      <c r="D29" s="62"/>
      <c r="E29" s="125"/>
      <c r="F29" s="125"/>
      <c r="G29" s="62"/>
      <c r="H29" s="126"/>
      <c r="I29" s="126"/>
      <c r="J29" s="62"/>
      <c r="K29" s="62"/>
      <c r="L29" s="62"/>
      <c r="M29" s="62"/>
      <c r="N29" s="62"/>
      <c r="O29" s="62"/>
      <c r="P29" s="62"/>
      <c r="Q29" s="123"/>
      <c r="R29" s="123"/>
      <c r="S29" s="123"/>
    </row>
    <row r="31" spans="2:19" ht="32.25" thickBot="1">
      <c r="B31" s="3" t="s">
        <v>24</v>
      </c>
      <c r="C31" s="8" t="s">
        <v>77</v>
      </c>
      <c r="D31" s="8" t="s">
        <v>78</v>
      </c>
      <c r="E31" s="8" t="s">
        <v>79</v>
      </c>
      <c r="F31" s="8" t="s">
        <v>80</v>
      </c>
      <c r="G31" s="8" t="s">
        <v>81</v>
      </c>
      <c r="H31" s="12" t="s">
        <v>128</v>
      </c>
      <c r="I31" s="180" t="s">
        <v>129</v>
      </c>
      <c r="J31" s="8" t="s">
        <v>105</v>
      </c>
      <c r="K31" s="8" t="s">
        <v>208</v>
      </c>
      <c r="L31" s="3" t="s">
        <v>29</v>
      </c>
      <c r="M31" s="3" t="s">
        <v>18</v>
      </c>
      <c r="N31" s="3" t="s">
        <v>28</v>
      </c>
      <c r="O31" s="3" t="s">
        <v>30</v>
      </c>
      <c r="P31" s="10" t="s">
        <v>108</v>
      </c>
      <c r="Q31" s="2" t="s">
        <v>174</v>
      </c>
      <c r="R31" s="2" t="s">
        <v>175</v>
      </c>
      <c r="S31" s="2" t="s">
        <v>176</v>
      </c>
    </row>
    <row r="32" spans="1:19" s="231" customFormat="1" ht="15.75">
      <c r="A32" s="25" t="s">
        <v>145</v>
      </c>
      <c r="B32" s="47" t="s">
        <v>194</v>
      </c>
      <c r="C32" s="47">
        <v>396</v>
      </c>
      <c r="D32" s="35">
        <v>420</v>
      </c>
      <c r="E32" s="35">
        <v>394</v>
      </c>
      <c r="F32" s="35"/>
      <c r="G32" s="35"/>
      <c r="H32" s="93"/>
      <c r="I32" s="203">
        <v>451</v>
      </c>
      <c r="J32" s="93">
        <v>440</v>
      </c>
      <c r="K32" s="93">
        <v>437</v>
      </c>
      <c r="L32" s="200">
        <f aca="true" t="shared" si="3" ref="L32:L48">SUM(C32:K32)</f>
        <v>2538</v>
      </c>
      <c r="M32" s="193">
        <v>1</v>
      </c>
      <c r="N32" s="193">
        <v>7</v>
      </c>
      <c r="O32" s="193">
        <v>-193</v>
      </c>
      <c r="P32" s="193">
        <v>0</v>
      </c>
      <c r="S32" s="231">
        <v>1</v>
      </c>
    </row>
    <row r="33" spans="1:17" s="23" customFormat="1" ht="15.75">
      <c r="A33" s="204" t="s">
        <v>146</v>
      </c>
      <c r="B33" s="205" t="s">
        <v>238</v>
      </c>
      <c r="C33" s="96"/>
      <c r="D33" s="201">
        <v>442</v>
      </c>
      <c r="E33" s="95"/>
      <c r="F33" s="201">
        <v>438</v>
      </c>
      <c r="G33" s="95">
        <v>390</v>
      </c>
      <c r="H33" s="254"/>
      <c r="I33" s="344">
        <v>457</v>
      </c>
      <c r="J33" s="344">
        <v>446</v>
      </c>
      <c r="K33" s="254">
        <v>436</v>
      </c>
      <c r="L33" s="58">
        <f t="shared" si="3"/>
        <v>2609</v>
      </c>
      <c r="M33" s="19">
        <v>6</v>
      </c>
      <c r="N33" s="19">
        <v>2</v>
      </c>
      <c r="O33" s="19">
        <v>157</v>
      </c>
      <c r="P33" s="19">
        <v>2</v>
      </c>
      <c r="Q33" s="23">
        <v>1</v>
      </c>
    </row>
    <row r="34" spans="1:19" s="231" customFormat="1" ht="15.75">
      <c r="A34" s="25" t="s">
        <v>147</v>
      </c>
      <c r="B34" s="47" t="s">
        <v>15</v>
      </c>
      <c r="C34" s="282">
        <v>407</v>
      </c>
      <c r="D34" s="330">
        <v>448</v>
      </c>
      <c r="E34" s="155">
        <v>395</v>
      </c>
      <c r="F34" s="155">
        <v>420</v>
      </c>
      <c r="G34" s="155"/>
      <c r="H34" s="93"/>
      <c r="I34" s="203">
        <v>427</v>
      </c>
      <c r="J34" s="203">
        <v>441</v>
      </c>
      <c r="K34" s="93"/>
      <c r="L34" s="200">
        <f t="shared" si="3"/>
        <v>2538</v>
      </c>
      <c r="M34" s="193">
        <v>3</v>
      </c>
      <c r="N34" s="193">
        <v>5</v>
      </c>
      <c r="O34" s="193">
        <v>-20</v>
      </c>
      <c r="P34" s="193">
        <v>0</v>
      </c>
      <c r="S34" s="231">
        <v>1</v>
      </c>
    </row>
    <row r="35" spans="1:17" s="106" customFormat="1" ht="15.75">
      <c r="A35" s="19" t="s">
        <v>148</v>
      </c>
      <c r="B35" s="34" t="s">
        <v>21</v>
      </c>
      <c r="C35" s="339">
        <v>426</v>
      </c>
      <c r="D35" s="339">
        <v>462</v>
      </c>
      <c r="E35" s="184">
        <v>417</v>
      </c>
      <c r="F35" s="339">
        <v>454</v>
      </c>
      <c r="G35" s="184"/>
      <c r="H35" s="95"/>
      <c r="I35" s="201">
        <v>464</v>
      </c>
      <c r="J35" s="201">
        <v>485</v>
      </c>
      <c r="K35" s="95"/>
      <c r="L35" s="105">
        <f t="shared" si="3"/>
        <v>2708</v>
      </c>
      <c r="M35" s="103">
        <v>7</v>
      </c>
      <c r="N35" s="103">
        <v>1</v>
      </c>
      <c r="O35" s="103">
        <v>314</v>
      </c>
      <c r="P35" s="103">
        <v>2</v>
      </c>
      <c r="Q35" s="106">
        <v>1</v>
      </c>
    </row>
    <row r="36" spans="1:19" s="231" customFormat="1" ht="15.75">
      <c r="A36" s="25" t="s">
        <v>149</v>
      </c>
      <c r="B36" s="35" t="s">
        <v>20</v>
      </c>
      <c r="C36" s="225"/>
      <c r="D36" s="226">
        <v>439</v>
      </c>
      <c r="E36" s="226"/>
      <c r="F36" s="226">
        <v>395</v>
      </c>
      <c r="G36" s="251">
        <v>466</v>
      </c>
      <c r="H36" s="93"/>
      <c r="I36" s="93">
        <v>430</v>
      </c>
      <c r="J36" s="203">
        <v>474</v>
      </c>
      <c r="K36" s="93">
        <v>427</v>
      </c>
      <c r="L36" s="200">
        <f t="shared" si="3"/>
        <v>2631</v>
      </c>
      <c r="M36" s="193">
        <v>2</v>
      </c>
      <c r="N36" s="193">
        <v>6</v>
      </c>
      <c r="O36" s="193">
        <v>-20</v>
      </c>
      <c r="P36" s="193">
        <v>0</v>
      </c>
      <c r="S36" s="231">
        <v>1</v>
      </c>
    </row>
    <row r="37" spans="1:17" s="211" customFormat="1" ht="15.75">
      <c r="A37" s="83" t="s">
        <v>150</v>
      </c>
      <c r="B37" s="96" t="s">
        <v>22</v>
      </c>
      <c r="C37" s="344">
        <v>426</v>
      </c>
      <c r="D37" s="254"/>
      <c r="E37" s="344">
        <v>432</v>
      </c>
      <c r="F37" s="254"/>
      <c r="G37" s="254">
        <v>408</v>
      </c>
      <c r="H37" s="154"/>
      <c r="I37" s="350">
        <v>466</v>
      </c>
      <c r="J37" s="350">
        <v>418</v>
      </c>
      <c r="K37" s="154">
        <v>415</v>
      </c>
      <c r="L37" s="366">
        <f t="shared" si="3"/>
        <v>2565</v>
      </c>
      <c r="M37" s="204">
        <v>5</v>
      </c>
      <c r="N37" s="204">
        <v>3</v>
      </c>
      <c r="O37" s="204">
        <v>108</v>
      </c>
      <c r="P37" s="204">
        <v>2</v>
      </c>
      <c r="Q37" s="211">
        <v>1</v>
      </c>
    </row>
    <row r="38" spans="1:17" s="231" customFormat="1" ht="15.75">
      <c r="A38" s="25" t="s">
        <v>151</v>
      </c>
      <c r="B38" s="47" t="s">
        <v>195</v>
      </c>
      <c r="C38" s="256">
        <v>421</v>
      </c>
      <c r="D38" s="346">
        <v>462</v>
      </c>
      <c r="E38" s="257">
        <v>427</v>
      </c>
      <c r="F38" s="257"/>
      <c r="G38" s="257"/>
      <c r="H38" s="93"/>
      <c r="I38" s="203">
        <v>459</v>
      </c>
      <c r="J38" s="203">
        <v>444</v>
      </c>
      <c r="K38" s="93">
        <v>427</v>
      </c>
      <c r="L38" s="200">
        <f t="shared" si="3"/>
        <v>2640</v>
      </c>
      <c r="M38" s="193">
        <v>5</v>
      </c>
      <c r="N38" s="193">
        <v>3</v>
      </c>
      <c r="O38" s="193">
        <v>76</v>
      </c>
      <c r="P38" s="193">
        <v>2</v>
      </c>
      <c r="Q38" s="231">
        <v>1</v>
      </c>
    </row>
    <row r="39" spans="1:17" s="23" customFormat="1" ht="15.75">
      <c r="A39" s="204" t="s">
        <v>152</v>
      </c>
      <c r="B39" s="205" t="s">
        <v>196</v>
      </c>
      <c r="C39" s="421">
        <v>426</v>
      </c>
      <c r="D39" s="425">
        <v>479</v>
      </c>
      <c r="E39" s="420">
        <v>388</v>
      </c>
      <c r="F39" s="420"/>
      <c r="G39" s="425">
        <v>446</v>
      </c>
      <c r="H39" s="254"/>
      <c r="I39" s="344">
        <v>456</v>
      </c>
      <c r="J39" s="254">
        <v>419</v>
      </c>
      <c r="K39" s="254"/>
      <c r="L39" s="58">
        <f t="shared" si="3"/>
        <v>2614</v>
      </c>
      <c r="M39" s="19">
        <v>5</v>
      </c>
      <c r="N39" s="19">
        <v>3</v>
      </c>
      <c r="O39" s="19">
        <v>114</v>
      </c>
      <c r="P39" s="19">
        <v>2</v>
      </c>
      <c r="Q39" s="23">
        <v>1</v>
      </c>
    </row>
    <row r="40" spans="1:17" s="231" customFormat="1" ht="15.75">
      <c r="A40" s="25" t="s">
        <v>153</v>
      </c>
      <c r="B40" s="35" t="s">
        <v>192</v>
      </c>
      <c r="C40" s="399">
        <v>432</v>
      </c>
      <c r="D40" s="430">
        <v>473</v>
      </c>
      <c r="E40" s="417"/>
      <c r="F40" s="430">
        <v>451</v>
      </c>
      <c r="G40" s="417">
        <v>448</v>
      </c>
      <c r="H40" s="93"/>
      <c r="I40" s="203">
        <v>467</v>
      </c>
      <c r="J40" s="93"/>
      <c r="K40" s="93">
        <v>420</v>
      </c>
      <c r="L40" s="200">
        <f t="shared" si="3"/>
        <v>2691</v>
      </c>
      <c r="M40" s="193">
        <v>5</v>
      </c>
      <c r="N40" s="193">
        <v>3</v>
      </c>
      <c r="O40" s="193">
        <v>32</v>
      </c>
      <c r="P40" s="193">
        <v>2</v>
      </c>
      <c r="Q40" s="231">
        <v>1</v>
      </c>
    </row>
    <row r="41" spans="1:17" s="106" customFormat="1" ht="15.75">
      <c r="A41" s="19" t="s">
        <v>154</v>
      </c>
      <c r="B41" s="34" t="s">
        <v>272</v>
      </c>
      <c r="C41" s="102"/>
      <c r="D41" s="250">
        <v>438</v>
      </c>
      <c r="E41" s="250">
        <v>443</v>
      </c>
      <c r="F41" s="250">
        <v>435</v>
      </c>
      <c r="G41" s="250">
        <v>453</v>
      </c>
      <c r="H41" s="95"/>
      <c r="I41" s="95">
        <v>416</v>
      </c>
      <c r="J41" s="201">
        <v>453</v>
      </c>
      <c r="K41" s="95"/>
      <c r="L41" s="105">
        <f t="shared" si="3"/>
        <v>2638</v>
      </c>
      <c r="M41" s="103">
        <v>7</v>
      </c>
      <c r="N41" s="103">
        <v>1</v>
      </c>
      <c r="O41" s="103">
        <v>179</v>
      </c>
      <c r="P41" s="103">
        <v>2</v>
      </c>
      <c r="Q41" s="106">
        <v>1</v>
      </c>
    </row>
    <row r="42" spans="1:19" s="231" customFormat="1" ht="15.75">
      <c r="A42" s="25" t="s">
        <v>155</v>
      </c>
      <c r="B42" s="35" t="s">
        <v>19</v>
      </c>
      <c r="C42" s="47">
        <v>405</v>
      </c>
      <c r="D42" s="35">
        <v>399</v>
      </c>
      <c r="E42" s="202">
        <v>453</v>
      </c>
      <c r="F42" s="35"/>
      <c r="G42" s="35">
        <v>426</v>
      </c>
      <c r="H42" s="93"/>
      <c r="I42" s="203">
        <v>511</v>
      </c>
      <c r="J42" s="203">
        <v>446</v>
      </c>
      <c r="K42" s="93"/>
      <c r="L42" s="200">
        <f t="shared" si="3"/>
        <v>2640</v>
      </c>
      <c r="M42" s="193">
        <v>3</v>
      </c>
      <c r="N42" s="193">
        <v>5</v>
      </c>
      <c r="O42" s="193">
        <v>-6</v>
      </c>
      <c r="P42" s="193">
        <v>0</v>
      </c>
      <c r="S42" s="231">
        <v>1</v>
      </c>
    </row>
    <row r="43" spans="1:19" s="211" customFormat="1" ht="15.75">
      <c r="A43" s="83" t="s">
        <v>156</v>
      </c>
      <c r="B43" s="96" t="s">
        <v>25</v>
      </c>
      <c r="C43" s="201">
        <v>468</v>
      </c>
      <c r="D43" s="95"/>
      <c r="E43" s="95"/>
      <c r="F43" s="95">
        <v>430</v>
      </c>
      <c r="G43" s="95">
        <v>428</v>
      </c>
      <c r="H43" s="154"/>
      <c r="I43" s="154">
        <v>416</v>
      </c>
      <c r="J43" s="350">
        <v>456</v>
      </c>
      <c r="K43" s="154">
        <v>396</v>
      </c>
      <c r="L43" s="366">
        <f t="shared" si="3"/>
        <v>2594</v>
      </c>
      <c r="M43" s="204">
        <v>2</v>
      </c>
      <c r="N43" s="204">
        <v>6</v>
      </c>
      <c r="O43" s="204">
        <v>-100</v>
      </c>
      <c r="P43" s="204">
        <v>0</v>
      </c>
      <c r="S43" s="211">
        <v>1</v>
      </c>
    </row>
    <row r="44" spans="1:17" s="106" customFormat="1" ht="15.75">
      <c r="A44" s="19" t="s">
        <v>157</v>
      </c>
      <c r="B44" s="36" t="s">
        <v>17</v>
      </c>
      <c r="C44" s="96">
        <v>410</v>
      </c>
      <c r="D44" s="201">
        <v>442</v>
      </c>
      <c r="E44" s="95"/>
      <c r="F44" s="95">
        <v>415</v>
      </c>
      <c r="G44" s="201">
        <v>458</v>
      </c>
      <c r="H44" s="95"/>
      <c r="I44" s="95">
        <v>429</v>
      </c>
      <c r="J44" s="201">
        <v>464</v>
      </c>
      <c r="K44" s="95"/>
      <c r="L44" s="105">
        <f t="shared" si="3"/>
        <v>2618</v>
      </c>
      <c r="M44" s="103">
        <v>5</v>
      </c>
      <c r="N44" s="103">
        <v>3</v>
      </c>
      <c r="O44" s="103">
        <v>6</v>
      </c>
      <c r="P44" s="103">
        <v>2</v>
      </c>
      <c r="Q44" s="106">
        <v>1</v>
      </c>
    </row>
    <row r="45" spans="1:17" s="231" customFormat="1" ht="15.75">
      <c r="A45" s="25" t="s">
        <v>243</v>
      </c>
      <c r="B45" s="47" t="s">
        <v>193</v>
      </c>
      <c r="C45" s="282"/>
      <c r="D45" s="330">
        <v>452</v>
      </c>
      <c r="E45" s="330">
        <v>456</v>
      </c>
      <c r="F45" s="155"/>
      <c r="G45" s="155">
        <v>426</v>
      </c>
      <c r="H45" s="93"/>
      <c r="I45" s="203">
        <v>461</v>
      </c>
      <c r="J45" s="203">
        <v>445</v>
      </c>
      <c r="K45" s="93">
        <v>427</v>
      </c>
      <c r="L45" s="200">
        <f t="shared" si="3"/>
        <v>2667</v>
      </c>
      <c r="M45" s="193">
        <v>6</v>
      </c>
      <c r="N45" s="193">
        <v>2</v>
      </c>
      <c r="O45" s="193">
        <v>236</v>
      </c>
      <c r="P45" s="193">
        <v>2</v>
      </c>
      <c r="Q45" s="231">
        <v>1</v>
      </c>
    </row>
    <row r="46" spans="1:17" s="211" customFormat="1" ht="15.75">
      <c r="A46" s="83" t="s">
        <v>244</v>
      </c>
      <c r="B46" s="96" t="s">
        <v>241</v>
      </c>
      <c r="C46" s="339">
        <v>421</v>
      </c>
      <c r="D46" s="184">
        <v>417</v>
      </c>
      <c r="E46" s="184">
        <v>413</v>
      </c>
      <c r="F46" s="184"/>
      <c r="G46" s="339">
        <v>437</v>
      </c>
      <c r="H46" s="154"/>
      <c r="I46" s="350">
        <v>478</v>
      </c>
      <c r="J46" s="350">
        <v>484</v>
      </c>
      <c r="K46" s="154"/>
      <c r="L46" s="366">
        <f t="shared" si="3"/>
        <v>2650</v>
      </c>
      <c r="M46" s="204">
        <v>5</v>
      </c>
      <c r="N46" s="204">
        <v>3</v>
      </c>
      <c r="O46" s="204">
        <v>275</v>
      </c>
      <c r="P46" s="204">
        <v>2</v>
      </c>
      <c r="Q46" s="211">
        <v>1</v>
      </c>
    </row>
    <row r="47" spans="1:16" s="148" customFormat="1" ht="15.75">
      <c r="A47" s="145" t="s">
        <v>266</v>
      </c>
      <c r="B47" s="146" t="s">
        <v>234</v>
      </c>
      <c r="C47" s="309"/>
      <c r="D47" s="219"/>
      <c r="E47" s="219"/>
      <c r="F47" s="219"/>
      <c r="G47" s="219"/>
      <c r="H47" s="219"/>
      <c r="I47" s="219"/>
      <c r="J47" s="219"/>
      <c r="K47" s="220"/>
      <c r="L47" s="367" t="s">
        <v>234</v>
      </c>
      <c r="M47" s="368"/>
      <c r="N47" s="368"/>
      <c r="O47" s="368"/>
      <c r="P47" s="368"/>
    </row>
    <row r="48" spans="1:19" s="23" customFormat="1" ht="16.5" thickBot="1">
      <c r="A48" s="204" t="s">
        <v>267</v>
      </c>
      <c r="B48" s="205" t="s">
        <v>242</v>
      </c>
      <c r="C48" s="448">
        <v>439</v>
      </c>
      <c r="D48" s="449">
        <v>454</v>
      </c>
      <c r="E48" s="321">
        <v>398</v>
      </c>
      <c r="F48" s="321"/>
      <c r="G48" s="321">
        <v>424</v>
      </c>
      <c r="H48" s="321"/>
      <c r="I48" s="449">
        <v>477</v>
      </c>
      <c r="J48" s="321">
        <v>424</v>
      </c>
      <c r="K48" s="321"/>
      <c r="L48" s="58">
        <f t="shared" si="3"/>
        <v>2616</v>
      </c>
      <c r="M48" s="24">
        <v>5</v>
      </c>
      <c r="N48" s="24">
        <v>3</v>
      </c>
      <c r="O48" s="24">
        <v>3</v>
      </c>
      <c r="P48" s="24">
        <v>2</v>
      </c>
      <c r="Q48" s="107">
        <v>1</v>
      </c>
      <c r="R48" s="107"/>
      <c r="S48" s="107"/>
    </row>
    <row r="49" spans="3:19" ht="16.5" thickTop="1">
      <c r="C49" s="7">
        <f aca="true" t="shared" si="4" ref="C49:K49">SUM(C32:C48)</f>
        <v>5077</v>
      </c>
      <c r="D49" s="7">
        <f t="shared" si="4"/>
        <v>6227</v>
      </c>
      <c r="E49" s="7">
        <f t="shared" si="4"/>
        <v>4616</v>
      </c>
      <c r="F49" s="7">
        <f>SUM(F32:F41)+SUM(F43:F48)</f>
        <v>3438</v>
      </c>
      <c r="G49" s="7">
        <f t="shared" si="4"/>
        <v>5210</v>
      </c>
      <c r="H49" s="7">
        <f t="shared" si="4"/>
        <v>0</v>
      </c>
      <c r="I49" s="7">
        <f t="shared" si="4"/>
        <v>7265</v>
      </c>
      <c r="J49" s="7">
        <f>SUM(J32:J41)+SUM(J43:J48)</f>
        <v>6293</v>
      </c>
      <c r="K49" s="7">
        <f t="shared" si="4"/>
        <v>3385</v>
      </c>
      <c r="M49" s="1">
        <f>SUM(M32:M48)</f>
        <v>72</v>
      </c>
      <c r="N49" s="1">
        <f>SUM(N32:N48)</f>
        <v>56</v>
      </c>
      <c r="O49" s="1">
        <f>SUM(O32:O48)</f>
        <v>1161</v>
      </c>
      <c r="P49" s="1">
        <f>SUM(P32:P48)</f>
        <v>22</v>
      </c>
      <c r="Q49" s="1">
        <f>SUM(Q32:Q48)+Q23</f>
        <v>22</v>
      </c>
      <c r="R49" s="1">
        <f>SUM(R32:R48)+R23</f>
        <v>0</v>
      </c>
      <c r="S49" s="1">
        <f>SUM(S32:S48)+S23</f>
        <v>10</v>
      </c>
    </row>
    <row r="50" spans="2:11" ht="15.75">
      <c r="B50" s="57" t="s">
        <v>229</v>
      </c>
      <c r="C50" s="1">
        <f aca="true" t="shared" si="5" ref="C50:K50">COUNT(C32:C48)</f>
        <v>12</v>
      </c>
      <c r="D50" s="1">
        <f t="shared" si="5"/>
        <v>14</v>
      </c>
      <c r="E50" s="1">
        <f t="shared" si="5"/>
        <v>11</v>
      </c>
      <c r="F50" s="1">
        <f>COUNT(F32:F41)+COUNT(F43:F48)</f>
        <v>8</v>
      </c>
      <c r="G50" s="1">
        <f t="shared" si="5"/>
        <v>12</v>
      </c>
      <c r="H50" s="1">
        <f t="shared" si="5"/>
        <v>0</v>
      </c>
      <c r="I50" s="1">
        <f t="shared" si="5"/>
        <v>16</v>
      </c>
      <c r="J50" s="1">
        <f>COUNT(J32:J41)+COUNT(J43:J48)</f>
        <v>14</v>
      </c>
      <c r="K50" s="1">
        <f t="shared" si="5"/>
        <v>8</v>
      </c>
    </row>
    <row r="51" spans="2:19" ht="31.5">
      <c r="B51" s="11" t="s">
        <v>119</v>
      </c>
      <c r="C51" s="16">
        <f aca="true" t="shared" si="6" ref="C51:K51">C49/C50</f>
        <v>423.0833333333333</v>
      </c>
      <c r="D51" s="16">
        <f t="shared" si="6"/>
        <v>444.7857142857143</v>
      </c>
      <c r="E51" s="16">
        <f t="shared" si="6"/>
        <v>419.6363636363636</v>
      </c>
      <c r="F51" s="16">
        <f t="shared" si="6"/>
        <v>429.75</v>
      </c>
      <c r="G51" s="16">
        <f t="shared" si="6"/>
        <v>434.1666666666667</v>
      </c>
      <c r="H51" s="16"/>
      <c r="I51" s="16">
        <f t="shared" si="6"/>
        <v>454.0625</v>
      </c>
      <c r="J51" s="16">
        <f t="shared" si="6"/>
        <v>449.5</v>
      </c>
      <c r="K51" s="16">
        <f t="shared" si="6"/>
        <v>423.125</v>
      </c>
      <c r="L51" s="3" t="s">
        <v>29</v>
      </c>
      <c r="M51" s="461" t="s">
        <v>109</v>
      </c>
      <c r="N51" s="461"/>
      <c r="O51" s="3" t="s">
        <v>30</v>
      </c>
      <c r="P51" s="10" t="s">
        <v>110</v>
      </c>
      <c r="R51" s="63" t="s">
        <v>118</v>
      </c>
      <c r="S51" s="63" t="s">
        <v>209</v>
      </c>
    </row>
    <row r="52" spans="12:19" ht="15.75">
      <c r="L52" s="6">
        <f>SUM(L32:L48)+L26</f>
        <v>83387</v>
      </c>
      <c r="M52" s="6">
        <f>SUM(M32:M48)+M26</f>
        <v>145</v>
      </c>
      <c r="N52" s="6">
        <f>SUM(N32:N48)+N26</f>
        <v>111</v>
      </c>
      <c r="O52" s="6">
        <f>SUM(O32:O48)+O26</f>
        <v>2047</v>
      </c>
      <c r="P52" s="6">
        <f>SUM(P32:P48)+P26</f>
        <v>44</v>
      </c>
      <c r="R52" s="2">
        <f>M52-N52</f>
        <v>34</v>
      </c>
      <c r="S52" s="2">
        <f>SUM(Q49:S49)</f>
        <v>32</v>
      </c>
    </row>
    <row r="54" spans="12:13" ht="15.75">
      <c r="L54" s="1" t="s">
        <v>120</v>
      </c>
      <c r="M54" s="18">
        <f>L52/S52</f>
        <v>2605.84375</v>
      </c>
    </row>
  </sheetData>
  <sheetProtection/>
  <mergeCells count="10">
    <mergeCell ref="D1:E1"/>
    <mergeCell ref="J2:K2"/>
    <mergeCell ref="G1:H1"/>
    <mergeCell ref="J1:K1"/>
    <mergeCell ref="M51:N51"/>
    <mergeCell ref="C4:K4"/>
    <mergeCell ref="M4:N4"/>
    <mergeCell ref="M25:N25"/>
    <mergeCell ref="E28:F28"/>
    <mergeCell ref="H28:I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Chris</cp:lastModifiedBy>
  <cp:lastPrinted>2012-09-04T09:31:28Z</cp:lastPrinted>
  <dcterms:created xsi:type="dcterms:W3CDTF">2008-09-16T07:00:15Z</dcterms:created>
  <dcterms:modified xsi:type="dcterms:W3CDTF">2014-05-16T18:19:39Z</dcterms:modified>
  <cp:category/>
  <cp:version/>
  <cp:contentType/>
  <cp:contentStatus/>
</cp:coreProperties>
</file>