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370" windowHeight="8595" tabRatio="942" activeTab="0"/>
  </bookViews>
  <sheets>
    <sheet name="tabella" sheetId="1" r:id="rId1"/>
    <sheet name="tavaszi rangsor" sheetId="2" r:id="rId2"/>
    <sheet name="Kinizsi" sheetId="3" r:id="rId3"/>
    <sheet name="Kalmár" sheetId="4" r:id="rId4"/>
    <sheet name="Amazonok és Titánok" sheetId="5" r:id="rId5"/>
    <sheet name="Santé" sheetId="6" r:id="rId6"/>
    <sheet name="Tápé" sheetId="7" r:id="rId7"/>
    <sheet name="Privát" sheetId="8" r:id="rId8"/>
    <sheet name="Gumigyár" sheetId="9" r:id="rId9"/>
    <sheet name="GLB" sheetId="10" r:id="rId10"/>
    <sheet name="Anro ker" sheetId="11" r:id="rId11"/>
    <sheet name="Szefo" sheetId="12" r:id="rId12"/>
    <sheet name="Dél Akku" sheetId="13" r:id="rId13"/>
    <sheet name="Fa-Team" sheetId="14" r:id="rId14"/>
    <sheet name="Euroteke" sheetId="15" r:id="rId15"/>
    <sheet name="Démász" sheetId="16" r:id="rId16"/>
    <sheet name="Temesvári Hús" sheetId="17" r:id="rId17"/>
    <sheet name="Postás" sheetId="18" r:id="rId18"/>
    <sheet name="Vörös Ördögök" sheetId="19" r:id="rId19"/>
    <sheet name="őszi rangsor" sheetId="20" r:id="rId20"/>
  </sheets>
  <definedNames>
    <definedName name="_xlnm._FilterDatabase" localSheetId="19" hidden="1">'őszi rangsor'!$A$1:$E$165</definedName>
  </definedNames>
  <calcPr fullCalcOnLoad="1"/>
</workbook>
</file>

<file path=xl/comments6.xml><?xml version="1.0" encoding="utf-8"?>
<comments xmlns="http://schemas.openxmlformats.org/spreadsheetml/2006/main">
  <authors>
    <author>Chris</author>
  </authors>
  <commentList>
    <comment ref="H7" authorId="0">
      <text>
        <r>
          <rPr>
            <b/>
            <sz val="9"/>
            <rFont val="Tahoma"/>
            <family val="0"/>
          </rPr>
          <t>Chris:</t>
        </r>
        <r>
          <rPr>
            <sz val="9"/>
            <rFont val="Tahoma"/>
            <family val="0"/>
          </rPr>
          <t xml:space="preserve">
Sérülés miatt feladta</t>
        </r>
      </text>
    </comment>
  </commentList>
</comments>
</file>

<file path=xl/sharedStrings.xml><?xml version="1.0" encoding="utf-8"?>
<sst xmlns="http://schemas.openxmlformats.org/spreadsheetml/2006/main" count="3385" uniqueCount="313">
  <si>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</si>
  <si>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</si>
  <si>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</si>
  <si>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</si>
  <si>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</si>
  <si>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</si>
  <si>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</si>
  <si>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</si>
  <si>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</si>
  <si>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</si>
  <si>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11. Forduló</t>
  </si>
  <si>
    <t>12. Forduló</t>
  </si>
  <si>
    <t>13. Forduló</t>
  </si>
  <si>
    <t>14. Forduló</t>
  </si>
  <si>
    <t>15. Forduló</t>
  </si>
  <si>
    <t>Tápé</t>
  </si>
  <si>
    <t>Kalmár</t>
  </si>
  <si>
    <t>Privát</t>
  </si>
  <si>
    <t>Phoenix</t>
  </si>
  <si>
    <t>Anro Ker</t>
  </si>
  <si>
    <t>Szefo</t>
  </si>
  <si>
    <t>Dél Akku</t>
  </si>
  <si>
    <t>Postás</t>
  </si>
  <si>
    <t>Santé</t>
  </si>
  <si>
    <t>Amazonok</t>
  </si>
  <si>
    <t>Ellenfél</t>
  </si>
  <si>
    <t>Kinizsi</t>
  </si>
  <si>
    <t>Dobók</t>
  </si>
  <si>
    <t>mérkőzés eredménye</t>
  </si>
  <si>
    <t>ellenfél</t>
  </si>
  <si>
    <t>Össz. dobott fa</t>
  </si>
  <si>
    <t>fa különbség</t>
  </si>
  <si>
    <t>Olajos Mihály</t>
  </si>
  <si>
    <t>Szabó László</t>
  </si>
  <si>
    <t>Kaufmann Zoltán</t>
  </si>
  <si>
    <t>Gyuris Gábor</t>
  </si>
  <si>
    <t>Elek-Savanya István</t>
  </si>
  <si>
    <t>Tímár Edina</t>
  </si>
  <si>
    <t>Sáfrány Anita</t>
  </si>
  <si>
    <t>Pontfogók jelölése</t>
  </si>
  <si>
    <t>Vidács István</t>
  </si>
  <si>
    <t>Mészáros Mihály</t>
  </si>
  <si>
    <t>Bálint József</t>
  </si>
  <si>
    <t>Avar György</t>
  </si>
  <si>
    <t>Kővári Árpád</t>
  </si>
  <si>
    <t>Teimel Zoltán</t>
  </si>
  <si>
    <t>Retek Ferenc</t>
  </si>
  <si>
    <t>Ábrahám László</t>
  </si>
  <si>
    <t>Ráczné Erzsi</t>
  </si>
  <si>
    <t>Nagy József</t>
  </si>
  <si>
    <t>Mogyorósi László</t>
  </si>
  <si>
    <t>Kónya János</t>
  </si>
  <si>
    <t>Papp László</t>
  </si>
  <si>
    <t>Török Gábor</t>
  </si>
  <si>
    <t>Csanádiné Ari</t>
  </si>
  <si>
    <t>Pallagi János</t>
  </si>
  <si>
    <t>Pallaginé Piroska</t>
  </si>
  <si>
    <t>Ohátné Böbe</t>
  </si>
  <si>
    <t>Óhidy István</t>
  </si>
  <si>
    <t>Galgóczy Tibor</t>
  </si>
  <si>
    <t>Dancsó Antal</t>
  </si>
  <si>
    <t>Moráth László</t>
  </si>
  <si>
    <t>Jaksa Tibor</t>
  </si>
  <si>
    <t>Balogh László</t>
  </si>
  <si>
    <t>Naschitz Károly</t>
  </si>
  <si>
    <t>Zsódi Imre</t>
  </si>
  <si>
    <t>Lázár János</t>
  </si>
  <si>
    <t>Tompa Panni</t>
  </si>
  <si>
    <t>Ifj. Bogdán Gábor</t>
  </si>
  <si>
    <t>Hódi Tamás</t>
  </si>
  <si>
    <t>Bogdán Gábor</t>
  </si>
  <si>
    <t>Péter Csaba</t>
  </si>
  <si>
    <t>Bodócsi László</t>
  </si>
  <si>
    <t>Mladin István</t>
  </si>
  <si>
    <t>Papp Tamás</t>
  </si>
  <si>
    <t>Calbert László</t>
  </si>
  <si>
    <t>Nagymihályné Böbe</t>
  </si>
  <si>
    <t>Busa Endre</t>
  </si>
  <si>
    <t>Battancs Szilveszter</t>
  </si>
  <si>
    <t>Kerti Róbert</t>
  </si>
  <si>
    <t>Majoros Gyula</t>
  </si>
  <si>
    <t>Kővágóné Ági</t>
  </si>
  <si>
    <t>Fodor József</t>
  </si>
  <si>
    <t>Lengyel József</t>
  </si>
  <si>
    <t>Sári Zoltán</t>
  </si>
  <si>
    <t>Kollár Zsolt</t>
  </si>
  <si>
    <t>Tóth Mihály</t>
  </si>
  <si>
    <t>Kalmár László</t>
  </si>
  <si>
    <t>Balogh József</t>
  </si>
  <si>
    <t>Ifj. Sonkoly László</t>
  </si>
  <si>
    <t>Naschitz Katalin</t>
  </si>
  <si>
    <t>Veres Zsolt</t>
  </si>
  <si>
    <t>Török József</t>
  </si>
  <si>
    <t>Kovács György</t>
  </si>
  <si>
    <t>Lőrincz Csaba</t>
  </si>
  <si>
    <t>Dobra Ferenc</t>
  </si>
  <si>
    <t>Mracskó Annamária</t>
  </si>
  <si>
    <t>Réperger István</t>
  </si>
  <si>
    <t>Balla Sándor</t>
  </si>
  <si>
    <t>Nagymihály Ferenc</t>
  </si>
  <si>
    <t>Frank Antal</t>
  </si>
  <si>
    <t>Csamangó Csaba</t>
  </si>
  <si>
    <t>Szendrei Zsolt</t>
  </si>
  <si>
    <t>Szanyi Géza</t>
  </si>
  <si>
    <t>Kalmár József</t>
  </si>
  <si>
    <t>Németh József</t>
  </si>
  <si>
    <t>Balázs István</t>
  </si>
  <si>
    <t>Kórász Anna</t>
  </si>
  <si>
    <t>Ferenczi László</t>
  </si>
  <si>
    <t>Pocsainé Zsuzsa</t>
  </si>
  <si>
    <t>Juhász Tibor</t>
  </si>
  <si>
    <t>Bolgár Tamás</t>
  </si>
  <si>
    <t>Nagy-Dani Károly</t>
  </si>
  <si>
    <t>Forró Anita</t>
  </si>
  <si>
    <t>Szerzett pontok</t>
  </si>
  <si>
    <t>Szett állás</t>
  </si>
  <si>
    <t>Össz pontszám:</t>
  </si>
  <si>
    <t>Faragó Zoltán</t>
  </si>
  <si>
    <t>Eperjesi József</t>
  </si>
  <si>
    <t>Márta Sándor</t>
  </si>
  <si>
    <t>Gál Zoltán</t>
  </si>
  <si>
    <t>Kovács Béla</t>
  </si>
  <si>
    <t>Gyöngyösi Mária</t>
  </si>
  <si>
    <t>Berek Tibor</t>
  </si>
  <si>
    <t>Horváth Ibolya</t>
  </si>
  <si>
    <t>Vámosi Lukács</t>
  </si>
  <si>
    <t>szett különbség</t>
  </si>
  <si>
    <t>Átlag:</t>
  </si>
  <si>
    <t>csapat átlag:</t>
  </si>
  <si>
    <t>Farkas Ilona</t>
  </si>
  <si>
    <t>Bajorics Csaba</t>
  </si>
  <si>
    <t>Kendrella István</t>
  </si>
  <si>
    <t>hazai mérkőzés</t>
  </si>
  <si>
    <t>idegenbeli mérkőzés</t>
  </si>
  <si>
    <t>Horváth Hajni</t>
  </si>
  <si>
    <t>Ótott Katalin</t>
  </si>
  <si>
    <t>Kővágó György</t>
  </si>
  <si>
    <t>Tóth Andrea</t>
  </si>
  <si>
    <t>HÉTFŐ</t>
  </si>
  <si>
    <t>17.00</t>
  </si>
  <si>
    <t>KINIZSI  pálya</t>
  </si>
  <si>
    <t>Hazai mérkőzése</t>
  </si>
  <si>
    <t>18.00</t>
  </si>
  <si>
    <t>KISSTADION</t>
  </si>
  <si>
    <t>SZERDA</t>
  </si>
  <si>
    <t>19.00</t>
  </si>
  <si>
    <t>CSÜTÖRTÖK</t>
  </si>
  <si>
    <t>PÉNTEK</t>
  </si>
  <si>
    <t>Bárkai Krisztián</t>
  </si>
  <si>
    <t>Lele József</t>
  </si>
  <si>
    <t>Szabó István</t>
  </si>
  <si>
    <t>Össz. Szettpont</t>
  </si>
  <si>
    <t>Össz. Pont</t>
  </si>
  <si>
    <t>18. forduló</t>
  </si>
  <si>
    <t>19. forduló</t>
  </si>
  <si>
    <t>20. forduló</t>
  </si>
  <si>
    <t>21. forduló</t>
  </si>
  <si>
    <t>22. forduló</t>
  </si>
  <si>
    <t>23. forduló</t>
  </si>
  <si>
    <t>24. forduló</t>
  </si>
  <si>
    <t>25. forduló</t>
  </si>
  <si>
    <t>26. forduló</t>
  </si>
  <si>
    <t>27. forduló</t>
  </si>
  <si>
    <t>28. forduló</t>
  </si>
  <si>
    <t>29. forduló</t>
  </si>
  <si>
    <t>30. forduló</t>
  </si>
  <si>
    <t>Démász</t>
  </si>
  <si>
    <t>Ludvig János</t>
  </si>
  <si>
    <t>Kenéz Ferenc</t>
  </si>
  <si>
    <t>Kun Mária</t>
  </si>
  <si>
    <t>Rangasz Pál</t>
  </si>
  <si>
    <t>Dezső Csaba</t>
  </si>
  <si>
    <t>Wéber Péter</t>
  </si>
  <si>
    <t>Szunyi József</t>
  </si>
  <si>
    <t>Bogdán Tamás</t>
  </si>
  <si>
    <t>Kántor János</t>
  </si>
  <si>
    <t>Huszka Bea</t>
  </si>
  <si>
    <t>Soós Béla</t>
  </si>
  <si>
    <t>Dobra Tamás</t>
  </si>
  <si>
    <t>Scheibli Zoltán</t>
  </si>
  <si>
    <t>Olajosné Krisztina</t>
  </si>
  <si>
    <t>Tóth Anita</t>
  </si>
  <si>
    <t>Pontszám</t>
  </si>
  <si>
    <t>mérkőzés</t>
  </si>
  <si>
    <t>GY</t>
  </si>
  <si>
    <t>D</t>
  </si>
  <si>
    <t>V</t>
  </si>
  <si>
    <t>Szett pont</t>
  </si>
  <si>
    <t>csapat</t>
  </si>
  <si>
    <t>Domonyi János</t>
  </si>
  <si>
    <t>Benke Zoltán</t>
  </si>
  <si>
    <t>Maróti Katalin</t>
  </si>
  <si>
    <t>Farkas B. Kálmán</t>
  </si>
  <si>
    <t>Tót Zsolt</t>
  </si>
  <si>
    <t>Giday Kálmán</t>
  </si>
  <si>
    <t>Papp Ákos</t>
  </si>
  <si>
    <t>EDF Démász</t>
  </si>
  <si>
    <t>Temesvári Ferenc</t>
  </si>
  <si>
    <t>Csentes József</t>
  </si>
  <si>
    <t>Szerda</t>
  </si>
  <si>
    <t>Újvári Mátyás</t>
  </si>
  <si>
    <t xml:space="preserve">Péter Norbert </t>
  </si>
  <si>
    <t>Csütörtök</t>
  </si>
  <si>
    <t>16.30</t>
  </si>
  <si>
    <t>Euroteke sörözö Tápé</t>
  </si>
  <si>
    <t>Temesvári Hús</t>
  </si>
  <si>
    <t>Fa-Team</t>
  </si>
  <si>
    <t>Kalmár Motor</t>
  </si>
  <si>
    <t>GLB</t>
  </si>
  <si>
    <t>Euroteke</t>
  </si>
  <si>
    <t xml:space="preserve">Fa-Team </t>
  </si>
  <si>
    <t>Fa Team</t>
  </si>
  <si>
    <t>Papp Róbert</t>
  </si>
  <si>
    <t>Ábrahám Máté</t>
  </si>
  <si>
    <t>Bodó Zoltán</t>
  </si>
  <si>
    <t>Kratochwill József</t>
  </si>
  <si>
    <t>Márta Gergő</t>
  </si>
  <si>
    <t>Rajda Csaba</t>
  </si>
  <si>
    <t>2.</t>
  </si>
  <si>
    <t>Kovács Zsolt</t>
  </si>
  <si>
    <t>Nagy János</t>
  </si>
  <si>
    <t>Tóth Tibor</t>
  </si>
  <si>
    <t>Veres Attila</t>
  </si>
  <si>
    <t>össz. mérkőzés</t>
  </si>
  <si>
    <t>Mérkőzések</t>
  </si>
  <si>
    <t>Mérkőzés</t>
  </si>
  <si>
    <t>Sante</t>
  </si>
  <si>
    <t>mérközés</t>
  </si>
  <si>
    <t>Anro ker</t>
  </si>
  <si>
    <t>Glb</t>
  </si>
  <si>
    <t>NÉV</t>
  </si>
  <si>
    <t>Csapat</t>
  </si>
  <si>
    <t>Csapat átlag</t>
  </si>
  <si>
    <t>Idegenben ütött össz. fa:</t>
  </si>
  <si>
    <t>idegenben ütött fa:</t>
  </si>
  <si>
    <t>Azonos pontszám, szettpont esetén az idegenben ütött fa számít</t>
  </si>
  <si>
    <t>amit az a táblázatban is látható</t>
  </si>
  <si>
    <t>3.</t>
  </si>
  <si>
    <t>4.</t>
  </si>
  <si>
    <t>5.</t>
  </si>
  <si>
    <t>6.</t>
  </si>
  <si>
    <t>7.</t>
  </si>
  <si>
    <t>8.</t>
  </si>
  <si>
    <t>9.</t>
  </si>
  <si>
    <t>15.</t>
  </si>
  <si>
    <t>16.</t>
  </si>
  <si>
    <t>Őszi átlag</t>
  </si>
  <si>
    <t>Tavaszi átlag</t>
  </si>
  <si>
    <t>tavaszi mérkőzés</t>
  </si>
  <si>
    <t>Tavaszi átlag:</t>
  </si>
  <si>
    <t>Tavaszi mérkőzés</t>
  </si>
  <si>
    <t>Tavaszi mérkőzések</t>
  </si>
  <si>
    <t>Az 50 dobás értéke nem szerepel a táblázatban, senkinél sem,</t>
  </si>
  <si>
    <t>csak a 100 dobás értéke van figyelembe véve.</t>
  </si>
  <si>
    <t>Andracsek Roland</t>
  </si>
  <si>
    <t>-</t>
  </si>
  <si>
    <t>Iványi László</t>
  </si>
  <si>
    <t>Szabó Gábor</t>
  </si>
  <si>
    <t>Csuka Zsanett</t>
  </si>
  <si>
    <t>Buri Jenő</t>
  </si>
  <si>
    <t>Gumigyár</t>
  </si>
  <si>
    <t>16. Forduló</t>
  </si>
  <si>
    <t>17. Forduló</t>
  </si>
  <si>
    <t>Vörös Ördögök</t>
  </si>
  <si>
    <t>Amazonok és Titánok</t>
  </si>
  <si>
    <t>31. forduló</t>
  </si>
  <si>
    <t>32. forduló</t>
  </si>
  <si>
    <t>Vörös ördögök</t>
  </si>
  <si>
    <t>Győző-Molnár Krisztina</t>
  </si>
  <si>
    <t>Béres Árpád</t>
  </si>
  <si>
    <t>Horváth István</t>
  </si>
  <si>
    <t>Szanyi Péter</t>
  </si>
  <si>
    <t>id. Faragó Zoltán</t>
  </si>
  <si>
    <t>Szabó Imre</t>
  </si>
  <si>
    <t>Őszi sorrend</t>
  </si>
  <si>
    <t xml:space="preserve">Amazonok </t>
  </si>
  <si>
    <t>Péntek</t>
  </si>
  <si>
    <t>18.15</t>
  </si>
  <si>
    <t>péntek</t>
  </si>
  <si>
    <t>kedd</t>
  </si>
  <si>
    <t>szerda</t>
  </si>
  <si>
    <t>Kinizsi pálya</t>
  </si>
  <si>
    <t>Szabó Sándor</t>
  </si>
  <si>
    <t>Czékmán László</t>
  </si>
  <si>
    <t>Benyhe K Sándor</t>
  </si>
  <si>
    <t>Stercz Péter</t>
  </si>
  <si>
    <t>Lóczi János</t>
  </si>
  <si>
    <t>Szepesi Krisztián</t>
  </si>
  <si>
    <t>Szögi Zoltán</t>
  </si>
  <si>
    <t>Székely Barna</t>
  </si>
  <si>
    <t>17.</t>
  </si>
  <si>
    <t>Bordás László</t>
  </si>
  <si>
    <t>Mező Ferenc</t>
  </si>
  <si>
    <t>Palágyi Andorné</t>
  </si>
  <si>
    <t>Puskás Bertalan</t>
  </si>
  <si>
    <t>Id. Faragó Zoltán</t>
  </si>
  <si>
    <t>Varga Sándor</t>
  </si>
  <si>
    <t>Kollár Zoltán</t>
  </si>
  <si>
    <t>Oláh Gábor</t>
  </si>
  <si>
    <t>Varga Lajos</t>
  </si>
  <si>
    <t>igazolt</t>
  </si>
  <si>
    <t>amatőr</t>
  </si>
  <si>
    <t>Calbert Csaba</t>
  </si>
  <si>
    <t>33. forduló</t>
  </si>
  <si>
    <t>34. forduló</t>
  </si>
  <si>
    <t>Szekeres Dávid</t>
  </si>
  <si>
    <t>1.</t>
  </si>
  <si>
    <t>Száraz-Zsoldi Mária</t>
  </si>
  <si>
    <t>Csajkás Zsófia</t>
  </si>
  <si>
    <t>Molnár Attila</t>
  </si>
  <si>
    <t>Tavaszi sorrend</t>
  </si>
  <si>
    <t>Szigeti Bálint</t>
  </si>
  <si>
    <t>2012-2013-as bajnokság alapszakasz végeredménye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</si>
</sst>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#,##0\ &quot;Ft&quot;"/>
  </numFmts>
  <fonts count="5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2"/>
      <name val="akkphon"/>
      <family val="0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0000FF"/>
      <name val="Times New Roman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double"/>
      <top style="medium"/>
      <bottom>
        <color indexed="63"/>
      </bottom>
      <diagonal style="thin"/>
    </border>
    <border>
      <left>
        <color indexed="63"/>
      </left>
      <right style="double"/>
      <top style="medium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 diagonalDown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Dashed"/>
    </border>
    <border>
      <left style="medium"/>
      <right style="medium"/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33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3" fontId="1" fillId="0" borderId="1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3" fillId="0" borderId="17" xfId="43" applyNumberFormat="1" applyFont="1" applyBorder="1" applyAlignment="1" applyProtection="1">
      <alignment horizontal="center"/>
      <protection/>
    </xf>
    <xf numFmtId="0" fontId="2" fillId="0" borderId="20" xfId="0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0" xfId="0" applyAlignment="1">
      <alignment/>
    </xf>
    <xf numFmtId="3" fontId="15" fillId="0" borderId="17" xfId="43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9" fillId="0" borderId="17" xfId="43" applyNumberFormat="1" applyFont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/>
    </xf>
    <xf numFmtId="3" fontId="9" fillId="0" borderId="16" xfId="43" applyNumberFormat="1" applyFont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3" fontId="9" fillId="0" borderId="23" xfId="43" applyNumberFormat="1" applyFont="1" applyBorder="1" applyAlignment="1" applyProtection="1">
      <alignment horizontal="center"/>
      <protection/>
    </xf>
    <xf numFmtId="3" fontId="13" fillId="0" borderId="23" xfId="43" applyNumberFormat="1" applyFont="1" applyBorder="1" applyAlignment="1" applyProtection="1">
      <alignment horizontal="center"/>
      <protection/>
    </xf>
    <xf numFmtId="3" fontId="15" fillId="0" borderId="23" xfId="43" applyNumberFormat="1" applyFont="1" applyBorder="1" applyAlignment="1" applyProtection="1">
      <alignment horizontal="center"/>
      <protection/>
    </xf>
    <xf numFmtId="3" fontId="0" fillId="0" borderId="23" xfId="0" applyNumberForma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4" fillId="0" borderId="25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/>
    </xf>
    <xf numFmtId="1" fontId="14" fillId="35" borderId="25" xfId="0" applyNumberFormat="1" applyFont="1" applyFill="1" applyBorder="1" applyAlignment="1">
      <alignment horizontal="center"/>
    </xf>
    <xf numFmtId="1" fontId="14" fillId="35" borderId="25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3" fontId="9" fillId="0" borderId="17" xfId="43" applyNumberFormat="1" applyFont="1" applyFill="1" applyBorder="1" applyAlignment="1" applyProtection="1">
      <alignment horizontal="center"/>
      <protection/>
    </xf>
    <xf numFmtId="3" fontId="13" fillId="0" borderId="17" xfId="43" applyNumberFormat="1" applyFont="1" applyFill="1" applyBorder="1" applyAlignment="1" applyProtection="1">
      <alignment horizontal="center"/>
      <protection/>
    </xf>
    <xf numFmtId="3" fontId="13" fillId="0" borderId="16" xfId="43" applyNumberFormat="1" applyFont="1" applyBorder="1" applyAlignment="1" applyProtection="1">
      <alignment horizontal="center"/>
      <protection/>
    </xf>
    <xf numFmtId="3" fontId="15" fillId="0" borderId="17" xfId="43" applyNumberFormat="1" applyFont="1" applyFill="1" applyBorder="1" applyAlignment="1" applyProtection="1">
      <alignment horizontal="center"/>
      <protection/>
    </xf>
    <xf numFmtId="3" fontId="15" fillId="0" borderId="16" xfId="43" applyNumberFormat="1" applyFont="1" applyBorder="1" applyAlignment="1" applyProtection="1">
      <alignment horizontal="center"/>
      <protection/>
    </xf>
    <xf numFmtId="1" fontId="14" fillId="0" borderId="25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9" fillId="0" borderId="38" xfId="43" applyNumberFormat="1" applyFont="1" applyBorder="1" applyAlignment="1" applyProtection="1">
      <alignment horizontal="center"/>
      <protection/>
    </xf>
    <xf numFmtId="3" fontId="13" fillId="0" borderId="38" xfId="43" applyNumberFormat="1" applyFont="1" applyBorder="1" applyAlignment="1" applyProtection="1">
      <alignment horizontal="center"/>
      <protection/>
    </xf>
    <xf numFmtId="3" fontId="15" fillId="0" borderId="38" xfId="43" applyNumberFormat="1" applyFont="1" applyBorder="1" applyAlignment="1" applyProtection="1">
      <alignment horizontal="center"/>
      <protection/>
    </xf>
    <xf numFmtId="3" fontId="0" fillId="0" borderId="38" xfId="0" applyNumberForma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26"/>
  <sheetViews>
    <sheetView tabSelected="1" zoomScalePageLayoutView="0" workbookViewId="0" topLeftCell="C3">
      <selection activeCell="C4" sqref="C4"/>
    </sheetView>
  </sheetViews>
  <sheetFormatPr defaultColWidth="9.00390625" defaultRowHeight="12.75"/>
  <cols>
    <col min="3" max="3" width="7.625" style="0" customWidth="1"/>
    <col min="4" max="4" width="20.00390625" style="0" customWidth="1"/>
    <col min="5" max="5" width="10.125" style="0" bestFit="1" customWidth="1"/>
    <col min="6" max="6" width="7.375" style="0" customWidth="1"/>
    <col min="7" max="7" width="5.75390625" style="0" customWidth="1"/>
    <col min="8" max="8" width="6.125" style="0" customWidth="1"/>
    <col min="9" max="9" width="5.875" style="0" customWidth="1"/>
    <col min="10" max="10" width="5.625" style="0" customWidth="1"/>
    <col min="11" max="11" width="15.875" style="0" bestFit="1" customWidth="1"/>
    <col min="12" max="12" width="10.00390625" style="0" bestFit="1" customWidth="1"/>
    <col min="13" max="13" width="24.75390625" style="0" bestFit="1" customWidth="1"/>
    <col min="14" max="14" width="13.125" style="0" bestFit="1" customWidth="1"/>
    <col min="15" max="15" width="24.75390625" style="0" bestFit="1" customWidth="1"/>
  </cols>
  <sheetData>
    <row r="3" spans="3:14" ht="15.75">
      <c r="C3" s="368" t="s">
        <v>312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ht="13.5" thickBot="1"/>
    <row r="5" spans="3:15" ht="16.5" thickBot="1">
      <c r="C5" s="49"/>
      <c r="D5" s="91" t="s">
        <v>188</v>
      </c>
      <c r="E5" s="91" t="s">
        <v>183</v>
      </c>
      <c r="F5" s="88" t="s">
        <v>184</v>
      </c>
      <c r="G5" s="92" t="s">
        <v>185</v>
      </c>
      <c r="H5" s="89" t="s">
        <v>186</v>
      </c>
      <c r="I5" s="369" t="s">
        <v>187</v>
      </c>
      <c r="J5" s="370"/>
      <c r="K5" s="91" t="s">
        <v>126</v>
      </c>
      <c r="L5" s="91" t="s">
        <v>182</v>
      </c>
      <c r="M5" s="86" t="s">
        <v>233</v>
      </c>
      <c r="N5" s="86" t="s">
        <v>232</v>
      </c>
      <c r="O5" s="93" t="s">
        <v>30</v>
      </c>
    </row>
    <row r="6" spans="3:15" ht="15.75">
      <c r="C6" s="239" t="s">
        <v>306</v>
      </c>
      <c r="D6" s="52" t="s">
        <v>264</v>
      </c>
      <c r="E6" s="52">
        <f>'Amazonok és Titánok'!U51</f>
        <v>32</v>
      </c>
      <c r="F6" s="52">
        <f>'Amazonok és Titánok'!R48</f>
        <v>26</v>
      </c>
      <c r="G6" s="52">
        <f>'Amazonok és Titánok'!S48</f>
        <v>0</v>
      </c>
      <c r="H6" s="52">
        <f>'Amazonok és Titánok'!T48</f>
        <v>6</v>
      </c>
      <c r="I6" s="242">
        <f>'Amazonok és Titánok'!H2</f>
        <v>162</v>
      </c>
      <c r="J6" s="242">
        <f>'Amazonok és Titánok'!I2</f>
        <v>94</v>
      </c>
      <c r="K6" s="327">
        <f>'Amazonok és Titánok'!K2</f>
        <v>68</v>
      </c>
      <c r="L6" s="329">
        <f>'Amazonok és Titánok'!J2</f>
        <v>52</v>
      </c>
      <c r="M6" s="98">
        <f>'Amazonok és Titánok'!N2</f>
        <v>20532</v>
      </c>
      <c r="N6" s="95">
        <f>'Amazonok és Titánok'!O53</f>
        <v>2570.1875</v>
      </c>
      <c r="O6" s="242">
        <f>'Amazonok és Titánok'!N51</f>
        <v>82246</v>
      </c>
    </row>
    <row r="7" spans="3:15" ht="15.75">
      <c r="C7" s="239" t="s">
        <v>218</v>
      </c>
      <c r="D7" s="53" t="s">
        <v>207</v>
      </c>
      <c r="E7" s="53">
        <f>Kalmár!U51</f>
        <v>32</v>
      </c>
      <c r="F7" s="53">
        <f>Kalmár!S48</f>
        <v>25</v>
      </c>
      <c r="G7" s="53">
        <f>Kalmár!T48</f>
        <v>1</v>
      </c>
      <c r="H7" s="53">
        <f>Kalmár!U48</f>
        <v>6</v>
      </c>
      <c r="I7" s="240">
        <f>Kalmár!I2</f>
        <v>179</v>
      </c>
      <c r="J7" s="240">
        <f>Kalmár!J2</f>
        <v>77</v>
      </c>
      <c r="K7" s="85">
        <f>Kalmár!L2</f>
        <v>102</v>
      </c>
      <c r="L7" s="97">
        <f>Kalmár!K2</f>
        <v>51</v>
      </c>
      <c r="M7" s="84">
        <f>Kalmár!O2</f>
        <v>20568</v>
      </c>
      <c r="N7" s="87">
        <f>Kalmár!O53</f>
        <v>2595.15625</v>
      </c>
      <c r="O7" s="240">
        <f>Kalmár!N51</f>
        <v>83045</v>
      </c>
    </row>
    <row r="8" spans="3:15" ht="15.75">
      <c r="C8" s="239" t="s">
        <v>237</v>
      </c>
      <c r="D8" s="53" t="s">
        <v>26</v>
      </c>
      <c r="E8" s="53">
        <f>Kinizsi!T51</f>
        <v>32</v>
      </c>
      <c r="F8" s="53">
        <f>Kinizsi!R48</f>
        <v>24</v>
      </c>
      <c r="G8" s="53">
        <f>Kinizsi!S48</f>
        <v>3</v>
      </c>
      <c r="H8" s="53">
        <f>Kinizsi!T48</f>
        <v>5</v>
      </c>
      <c r="I8" s="325">
        <f>Kinizsi!H2</f>
        <v>167</v>
      </c>
      <c r="J8" s="325">
        <f>Kinizsi!I2</f>
        <v>89</v>
      </c>
      <c r="K8" s="326">
        <f>Kinizsi!K2</f>
        <v>78</v>
      </c>
      <c r="L8" s="328">
        <f>Kinizsi!J2</f>
        <v>51</v>
      </c>
      <c r="M8" s="84">
        <f>Kinizsi!N2</f>
        <v>20618</v>
      </c>
      <c r="N8" s="87">
        <f>Kinizsi!N53</f>
        <v>2597.40625</v>
      </c>
      <c r="O8" s="240">
        <f>Kinizsi!M51</f>
        <v>83117</v>
      </c>
    </row>
    <row r="9" spans="3:15" ht="16.5" thickBot="1">
      <c r="C9" s="349" t="s">
        <v>238</v>
      </c>
      <c r="D9" s="350" t="s">
        <v>260</v>
      </c>
      <c r="E9" s="351">
        <f>Gumigyár!T51</f>
        <v>32</v>
      </c>
      <c r="F9" s="351">
        <f>Gumigyár!R48</f>
        <v>24</v>
      </c>
      <c r="G9" s="351">
        <f>Gumigyár!S48</f>
        <v>2</v>
      </c>
      <c r="H9" s="351">
        <f>Gumigyár!T48</f>
        <v>6</v>
      </c>
      <c r="I9" s="352">
        <f>Gumigyár!H2</f>
        <v>166</v>
      </c>
      <c r="J9" s="352">
        <f>Gumigyár!I2</f>
        <v>90</v>
      </c>
      <c r="K9" s="353">
        <f>Gumigyár!K2</f>
        <v>76</v>
      </c>
      <c r="L9" s="354">
        <f>Gumigyár!J2</f>
        <v>50</v>
      </c>
      <c r="M9" s="351">
        <f>Gumigyár!N2</f>
        <v>20622</v>
      </c>
      <c r="N9" s="355">
        <f>Gumigyár!N53</f>
        <v>2562.21875</v>
      </c>
      <c r="O9" s="352">
        <f>Gumigyár!M51</f>
        <v>81991</v>
      </c>
    </row>
    <row r="10" spans="3:15" ht="15.75">
      <c r="C10" s="348" t="s">
        <v>239</v>
      </c>
      <c r="D10" s="52" t="s">
        <v>23</v>
      </c>
      <c r="E10" s="52">
        <f>Santé!T51</f>
        <v>32</v>
      </c>
      <c r="F10" s="52">
        <f>Santé!R48</f>
        <v>18</v>
      </c>
      <c r="G10" s="52">
        <f>Santé!S48</f>
        <v>1</v>
      </c>
      <c r="H10" s="52">
        <f>Santé!T48</f>
        <v>13</v>
      </c>
      <c r="I10" s="242">
        <f>Santé!H2</f>
        <v>140</v>
      </c>
      <c r="J10" s="242">
        <f>Santé!I2</f>
        <v>116</v>
      </c>
      <c r="K10" s="327">
        <f>Santé!K2</f>
        <v>24</v>
      </c>
      <c r="L10" s="329">
        <f>Santé!J2</f>
        <v>37</v>
      </c>
      <c r="M10" s="98">
        <f>Santé!O2</f>
        <v>20001</v>
      </c>
      <c r="N10" s="95">
        <f>Santé!N53</f>
        <v>2520.4375</v>
      </c>
      <c r="O10" s="242">
        <f>Santé!M51</f>
        <v>80654</v>
      </c>
    </row>
    <row r="11" spans="3:15" ht="15.75">
      <c r="C11" s="239" t="s">
        <v>240</v>
      </c>
      <c r="D11" s="53" t="s">
        <v>17</v>
      </c>
      <c r="E11" s="84">
        <f>Privát!S51</f>
        <v>32</v>
      </c>
      <c r="F11" s="53">
        <f>Privát!Q48</f>
        <v>18</v>
      </c>
      <c r="G11" s="53">
        <f>Privát!R48</f>
        <v>1</v>
      </c>
      <c r="H11" s="53">
        <f>Privát!S48</f>
        <v>13</v>
      </c>
      <c r="I11" s="240">
        <f>Privát!G2</f>
        <v>136</v>
      </c>
      <c r="J11" s="240">
        <f>Privát!H2</f>
        <v>120</v>
      </c>
      <c r="K11" s="85">
        <f>Privát!J2</f>
        <v>16</v>
      </c>
      <c r="L11" s="97">
        <f>Privát!I2</f>
        <v>37</v>
      </c>
      <c r="M11" s="84">
        <f>Privát!M2</f>
        <v>20268</v>
      </c>
      <c r="N11" s="87">
        <f>Privát!O53</f>
        <v>2527.5</v>
      </c>
      <c r="O11" s="240">
        <f>Privát!L51</f>
        <v>80880</v>
      </c>
    </row>
    <row r="12" spans="3:15" ht="15.75">
      <c r="C12" s="239" t="s">
        <v>241</v>
      </c>
      <c r="D12" s="53" t="s">
        <v>20</v>
      </c>
      <c r="E12" s="53">
        <f>Szefo!T51</f>
        <v>32</v>
      </c>
      <c r="F12" s="53">
        <f>Szefo!R48</f>
        <v>17</v>
      </c>
      <c r="G12" s="53">
        <f>Szefo!S48</f>
        <v>0</v>
      </c>
      <c r="H12" s="53">
        <f>Szefo!T48</f>
        <v>15</v>
      </c>
      <c r="I12" s="240">
        <f>Szefo!I2</f>
        <v>129</v>
      </c>
      <c r="J12" s="240">
        <f>Szefo!J2</f>
        <v>127</v>
      </c>
      <c r="K12" s="85">
        <f>Szefo!L2</f>
        <v>2</v>
      </c>
      <c r="L12" s="97">
        <f>Szefo!K2</f>
        <v>34</v>
      </c>
      <c r="M12" s="84">
        <f>Szefo!P2</f>
        <v>19854</v>
      </c>
      <c r="N12" s="278">
        <f>Szefo!N53</f>
        <v>2490.1875</v>
      </c>
      <c r="O12" s="240">
        <f>Szefo!M51</f>
        <v>79686</v>
      </c>
    </row>
    <row r="13" spans="3:15" ht="16.5" thickBot="1">
      <c r="C13" s="349" t="s">
        <v>242</v>
      </c>
      <c r="D13" s="350" t="s">
        <v>19</v>
      </c>
      <c r="E13" s="350">
        <f>'Anro ker'!U52</f>
        <v>32</v>
      </c>
      <c r="F13" s="350">
        <f>'Anro ker'!S49</f>
        <v>15</v>
      </c>
      <c r="G13" s="350">
        <f>'Anro ker'!T49</f>
        <v>1</v>
      </c>
      <c r="H13" s="350">
        <f>'Anro ker'!U49</f>
        <v>16</v>
      </c>
      <c r="I13" s="352">
        <f>'Anro ker'!H2</f>
        <v>125</v>
      </c>
      <c r="J13" s="352">
        <f>'Anro ker'!I2</f>
        <v>131</v>
      </c>
      <c r="K13" s="353">
        <f>'Anro ker'!K2</f>
        <v>-6</v>
      </c>
      <c r="L13" s="354">
        <f>'Anro ker'!J2</f>
        <v>31</v>
      </c>
      <c r="M13" s="351">
        <f>'Anro ker'!O2</f>
        <v>20089</v>
      </c>
      <c r="N13" s="355">
        <f>'Anro ker'!O54</f>
        <v>2527.71875</v>
      </c>
      <c r="O13" s="352">
        <f>'Anro ker'!N52</f>
        <v>80887</v>
      </c>
    </row>
    <row r="14" spans="3:15" ht="15.75">
      <c r="C14" s="348" t="s">
        <v>243</v>
      </c>
      <c r="D14" s="52" t="s">
        <v>21</v>
      </c>
      <c r="E14" s="52">
        <f>'Dél Akku'!T51</f>
        <v>32</v>
      </c>
      <c r="F14" s="52">
        <f>'Dél Akku'!R48</f>
        <v>15</v>
      </c>
      <c r="G14" s="52">
        <f>'Dél Akku'!S48</f>
        <v>1</v>
      </c>
      <c r="H14" s="52">
        <f>'Dél Akku'!T48</f>
        <v>16</v>
      </c>
      <c r="I14" s="242">
        <f>'Dél Akku'!H2</f>
        <v>122</v>
      </c>
      <c r="J14" s="242">
        <f>'Dél Akku'!I2</f>
        <v>134</v>
      </c>
      <c r="K14" s="327">
        <f>'Dél Akku'!K2</f>
        <v>-12</v>
      </c>
      <c r="L14" s="329">
        <f>'Dél Akku'!J2</f>
        <v>31</v>
      </c>
      <c r="M14" s="98">
        <f>'Dél Akku'!N2</f>
        <v>19952</v>
      </c>
      <c r="N14" s="95">
        <f>'Dél Akku'!N53</f>
        <v>2494.25</v>
      </c>
      <c r="O14" s="242">
        <f>'Dél Akku'!M51</f>
        <v>79816</v>
      </c>
    </row>
    <row r="15" spans="3:15" ht="15.75">
      <c r="C15" s="239">
        <v>10</v>
      </c>
      <c r="D15" s="53" t="s">
        <v>15</v>
      </c>
      <c r="E15" s="53">
        <f>Tápé!U52</f>
        <v>32</v>
      </c>
      <c r="F15" s="53">
        <f>Tápé!S49</f>
        <v>14</v>
      </c>
      <c r="G15" s="53">
        <f>Tápé!T49</f>
        <v>3</v>
      </c>
      <c r="H15" s="53">
        <f>Tápé!U49</f>
        <v>15</v>
      </c>
      <c r="I15" s="240">
        <f>Tápé!I2</f>
        <v>121</v>
      </c>
      <c r="J15" s="240">
        <f>Tápé!J2</f>
        <v>135</v>
      </c>
      <c r="K15" s="85">
        <f>Tápé!L2</f>
        <v>-14</v>
      </c>
      <c r="L15" s="97">
        <f>Tápé!K2</f>
        <v>31</v>
      </c>
      <c r="M15" s="84">
        <f>Tápé!O2</f>
        <v>20250</v>
      </c>
      <c r="N15" s="87">
        <f>Tápé!O54</f>
        <v>2526.84375</v>
      </c>
      <c r="O15" s="240">
        <f>Tápé!N52</f>
        <v>80859</v>
      </c>
    </row>
    <row r="16" spans="3:15" ht="15.75">
      <c r="C16" s="239">
        <v>11</v>
      </c>
      <c r="D16" s="53" t="s">
        <v>208</v>
      </c>
      <c r="E16" s="53">
        <f>GLB!S52</f>
        <v>32</v>
      </c>
      <c r="F16" s="53">
        <f>GLB!Q49</f>
        <v>15</v>
      </c>
      <c r="G16" s="53">
        <f>GLB!R49</f>
        <v>0</v>
      </c>
      <c r="H16" s="53">
        <f>GLB!S49</f>
        <v>17</v>
      </c>
      <c r="I16" s="240">
        <f>GLB!H2</f>
        <v>124</v>
      </c>
      <c r="J16" s="240">
        <f>GLB!I2</f>
        <v>132</v>
      </c>
      <c r="K16" s="85">
        <f>GLB!K2</f>
        <v>-8</v>
      </c>
      <c r="L16" s="97">
        <f>GLB!J2</f>
        <v>30</v>
      </c>
      <c r="M16" s="84">
        <f>GLB!O2</f>
        <v>20140</v>
      </c>
      <c r="N16" s="87">
        <f>GLB!M54</f>
        <v>2517.96875</v>
      </c>
      <c r="O16" s="240">
        <f>GLB!L52</f>
        <v>80575</v>
      </c>
    </row>
    <row r="17" spans="3:15" ht="16.5" thickBot="1">
      <c r="C17" s="349">
        <v>12</v>
      </c>
      <c r="D17" s="357" t="s">
        <v>263</v>
      </c>
      <c r="E17" s="350">
        <f>'Vörös Ördögök'!V51</f>
        <v>32</v>
      </c>
      <c r="F17" s="350">
        <f>'Vörös Ördögök'!T48</f>
        <v>15</v>
      </c>
      <c r="G17" s="350">
        <f>'Vörös Ördögök'!U48</f>
        <v>0</v>
      </c>
      <c r="H17" s="350">
        <f>'Vörös Ördögök'!V48</f>
        <v>17</v>
      </c>
      <c r="I17" s="351">
        <f>'Vörös Ördögök'!M2</f>
        <v>122</v>
      </c>
      <c r="J17" s="351">
        <f>'Vörös Ördögök'!N2</f>
        <v>134</v>
      </c>
      <c r="K17" s="358">
        <f>'Vörös Ördögök'!P2</f>
        <v>-12</v>
      </c>
      <c r="L17" s="359">
        <f>'Vörös Ördögök'!O2</f>
        <v>30</v>
      </c>
      <c r="M17" s="351">
        <f>'Vörös Ördögök'!S2</f>
        <v>19695</v>
      </c>
      <c r="N17" s="360">
        <f>'Vörös Ördögök'!P53</f>
        <v>2505.15625</v>
      </c>
      <c r="O17" s="351">
        <f>'Vörös Ördögök'!O51</f>
        <v>80165</v>
      </c>
    </row>
    <row r="18" spans="3:15" ht="15.75">
      <c r="C18" s="348">
        <v>13</v>
      </c>
      <c r="D18" s="52" t="s">
        <v>205</v>
      </c>
      <c r="E18" s="356">
        <f>'Temesvári Hús'!T52</f>
        <v>32</v>
      </c>
      <c r="F18" s="52">
        <f>'Temesvári Hús'!R49</f>
        <v>13</v>
      </c>
      <c r="G18" s="52">
        <f>'Temesvári Hús'!S49</f>
        <v>1</v>
      </c>
      <c r="H18" s="52">
        <f>'Temesvári Hús'!T49</f>
        <v>18</v>
      </c>
      <c r="I18" s="242">
        <f>'Temesvári Hús'!J2</f>
        <v>122</v>
      </c>
      <c r="J18" s="242">
        <f>'Temesvári Hús'!K2</f>
        <v>134</v>
      </c>
      <c r="K18" s="327">
        <f>'Temesvári Hús'!M2</f>
        <v>-12</v>
      </c>
      <c r="L18" s="329">
        <f>'Temesvári Hús'!L2</f>
        <v>27</v>
      </c>
      <c r="M18" s="98">
        <f>'Temesvári Hús'!Q2</f>
        <v>19794</v>
      </c>
      <c r="N18" s="95">
        <f>'Temesvári Hús'!N54</f>
        <v>2498.03125</v>
      </c>
      <c r="O18" s="242">
        <f>'Temesvári Hús'!M52</f>
        <v>79937</v>
      </c>
    </row>
    <row r="19" spans="3:15" ht="15.75">
      <c r="C19" s="239">
        <v>14</v>
      </c>
      <c r="D19" s="53" t="s">
        <v>209</v>
      </c>
      <c r="E19" s="53">
        <f>Euroteke!U51</f>
        <v>32</v>
      </c>
      <c r="F19" s="53">
        <f>Euroteke!S48</f>
        <v>10</v>
      </c>
      <c r="G19" s="53">
        <f>Euroteke!T48</f>
        <v>3</v>
      </c>
      <c r="H19" s="53">
        <f>Euroteke!U48</f>
        <v>19</v>
      </c>
      <c r="I19" s="240">
        <f>Euroteke!K2</f>
        <v>111</v>
      </c>
      <c r="J19" s="240">
        <f>Euroteke!M2</f>
        <v>145</v>
      </c>
      <c r="K19" s="85">
        <f>Euroteke!O2</f>
        <v>-34</v>
      </c>
      <c r="L19" s="97">
        <f>Euroteke!N2</f>
        <v>23</v>
      </c>
      <c r="M19" s="84">
        <f>Euroteke!R2</f>
        <v>19802</v>
      </c>
      <c r="N19" s="87">
        <f>Euroteke!O53</f>
        <v>2403.59375</v>
      </c>
      <c r="O19" s="240">
        <f>Euroteke!N51</f>
        <v>76915</v>
      </c>
    </row>
    <row r="20" spans="3:15" ht="15.75">
      <c r="C20" s="239" t="s">
        <v>244</v>
      </c>
      <c r="D20" s="53" t="s">
        <v>211</v>
      </c>
      <c r="E20" s="53">
        <f>'Fa-Team'!T52</f>
        <v>32</v>
      </c>
      <c r="F20" s="53">
        <f>'Fa-Team'!R49</f>
        <v>9</v>
      </c>
      <c r="G20" s="53">
        <f>'Fa-Team'!S49</f>
        <v>2</v>
      </c>
      <c r="H20" s="53">
        <f>'Fa-Team'!T49</f>
        <v>21</v>
      </c>
      <c r="I20" s="240">
        <f>'Fa-Team'!I2</f>
        <v>99</v>
      </c>
      <c r="J20" s="240">
        <f>'Fa-Team'!J2</f>
        <v>157</v>
      </c>
      <c r="K20" s="85">
        <f>'Fa-Team'!L2</f>
        <v>-58</v>
      </c>
      <c r="L20" s="97">
        <f>'Fa-Team'!K2</f>
        <v>20</v>
      </c>
      <c r="M20" s="84">
        <f>'Fa-Team'!N2</f>
        <v>19696</v>
      </c>
      <c r="N20" s="87">
        <f>'Fa-Team'!N54</f>
        <v>2452.375</v>
      </c>
      <c r="O20" s="240">
        <f>'Fa-Team'!M52</f>
        <v>78476</v>
      </c>
    </row>
    <row r="21" spans="3:15" ht="15.75">
      <c r="C21" s="239" t="s">
        <v>245</v>
      </c>
      <c r="D21" s="53" t="s">
        <v>196</v>
      </c>
      <c r="E21" s="53">
        <f>Démász!T52</f>
        <v>32</v>
      </c>
      <c r="F21" s="53">
        <f>Démász!R49</f>
        <v>3</v>
      </c>
      <c r="G21" s="53">
        <f>Démász!S49</f>
        <v>0</v>
      </c>
      <c r="H21" s="53">
        <f>Démász!T49</f>
        <v>29</v>
      </c>
      <c r="I21" s="240">
        <f>Démász!I2</f>
        <v>76</v>
      </c>
      <c r="J21" s="240">
        <f>Démász!J2</f>
        <v>180</v>
      </c>
      <c r="K21" s="85">
        <f>Démász!L2</f>
        <v>-104</v>
      </c>
      <c r="L21" s="97">
        <f>Démász!K2</f>
        <v>6</v>
      </c>
      <c r="M21" s="84">
        <f>Démász!N2</f>
        <v>19418</v>
      </c>
      <c r="N21" s="87">
        <f>Démász!N54</f>
        <v>2430.5</v>
      </c>
      <c r="O21" s="240">
        <f>Démász!M52</f>
        <v>77776</v>
      </c>
    </row>
    <row r="22" spans="3:15" ht="16.5" thickBot="1">
      <c r="C22" s="241" t="s">
        <v>290</v>
      </c>
      <c r="D22" s="90" t="s">
        <v>22</v>
      </c>
      <c r="E22" s="90">
        <f>Postás!T52</f>
        <v>32</v>
      </c>
      <c r="F22" s="90">
        <f>Postás!R49</f>
        <v>1</v>
      </c>
      <c r="G22" s="90">
        <f>Postás!S49</f>
        <v>1</v>
      </c>
      <c r="H22" s="90">
        <f>Postás!T49</f>
        <v>30</v>
      </c>
      <c r="I22" s="245">
        <f>Postás!H2</f>
        <v>75</v>
      </c>
      <c r="J22" s="245">
        <f>Postás!I2</f>
        <v>181</v>
      </c>
      <c r="K22" s="246">
        <f>Postás!K2</f>
        <v>-106</v>
      </c>
      <c r="L22" s="247">
        <f>Postás!J2</f>
        <v>3</v>
      </c>
      <c r="M22" s="99">
        <f>Postás!N2</f>
        <v>19227</v>
      </c>
      <c r="N22" s="248">
        <f>Postás!N54</f>
        <v>2411.5625</v>
      </c>
      <c r="O22" s="245">
        <f>Postás!M52</f>
        <v>77170</v>
      </c>
    </row>
    <row r="25" ht="12.75">
      <c r="D25" t="s">
        <v>235</v>
      </c>
    </row>
    <row r="26" ht="12.75">
      <c r="D26" t="s">
        <v>236</v>
      </c>
    </row>
  </sheetData>
  <sheetProtection/>
  <mergeCells count="2">
    <mergeCell ref="C3:N3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S54"/>
  <sheetViews>
    <sheetView zoomScale="90" zoomScaleNormal="90" zoomScalePageLayoutView="0" workbookViewId="0" topLeftCell="B28">
      <selection activeCell="G48" sqref="G48"/>
    </sheetView>
  </sheetViews>
  <sheetFormatPr defaultColWidth="9.00390625" defaultRowHeight="12.75"/>
  <cols>
    <col min="1" max="1" width="11.25390625" style="1" bestFit="1" customWidth="1"/>
    <col min="2" max="2" width="15.125" style="1" customWidth="1"/>
    <col min="3" max="4" width="9.125" style="1" customWidth="1"/>
    <col min="5" max="5" width="10.75390625" style="1" customWidth="1"/>
    <col min="6" max="6" width="9.125" style="1" customWidth="1"/>
    <col min="7" max="7" width="11.375" style="1" customWidth="1"/>
    <col min="8" max="8" width="9.125" style="1" customWidth="1"/>
    <col min="9" max="10" width="10.875" style="1" customWidth="1"/>
    <col min="11" max="11" width="9.125" style="1" customWidth="1"/>
    <col min="12" max="12" width="16.875" style="1" customWidth="1"/>
    <col min="13" max="13" width="9.875" style="1" customWidth="1"/>
    <col min="14" max="14" width="10.375" style="1" customWidth="1"/>
    <col min="15" max="15" width="13.375" style="1" customWidth="1"/>
    <col min="16" max="16" width="10.875" style="1" customWidth="1"/>
    <col min="18" max="18" width="11.75390625" style="0" customWidth="1"/>
    <col min="19" max="19" width="12.25390625" style="0" customWidth="1"/>
  </cols>
  <sheetData>
    <row r="1" spans="1:15" ht="15.75">
      <c r="A1" s="58" t="s">
        <v>141</v>
      </c>
      <c r="B1" s="59"/>
      <c r="C1" s="59" t="s">
        <v>199</v>
      </c>
      <c r="D1" s="59" t="s">
        <v>145</v>
      </c>
      <c r="E1" s="60" t="s">
        <v>140</v>
      </c>
      <c r="F1" s="62"/>
      <c r="H1" s="368" t="s">
        <v>151</v>
      </c>
      <c r="I1" s="368"/>
      <c r="J1" s="11" t="s">
        <v>152</v>
      </c>
      <c r="K1" s="378" t="s">
        <v>126</v>
      </c>
      <c r="L1" s="378"/>
      <c r="N1" s="225" t="s">
        <v>128</v>
      </c>
      <c r="O1" s="18">
        <f>L26/S26</f>
        <v>2534.5625</v>
      </c>
    </row>
    <row r="2" spans="8:15" ht="15.75">
      <c r="H2" s="1">
        <f>M26+M49</f>
        <v>124</v>
      </c>
      <c r="I2" s="1">
        <f>N26+N49</f>
        <v>132</v>
      </c>
      <c r="J2" s="1">
        <f>P26+P49</f>
        <v>30</v>
      </c>
      <c r="K2" s="374">
        <f>H2-I2</f>
        <v>-8</v>
      </c>
      <c r="L2" s="374"/>
      <c r="N2" s="225" t="s">
        <v>234</v>
      </c>
      <c r="O2" s="6">
        <f>L6+L8+L10+L12+L15+L17+L19+L21</f>
        <v>20140</v>
      </c>
    </row>
    <row r="4" spans="3:19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M4" s="371" t="s">
        <v>28</v>
      </c>
      <c r="N4" s="371"/>
      <c r="Q4" s="2"/>
      <c r="R4" s="2"/>
      <c r="S4" s="2"/>
    </row>
    <row r="5" spans="2:19" ht="48" thickBot="1">
      <c r="B5" s="3" t="s">
        <v>25</v>
      </c>
      <c r="C5" s="8" t="s">
        <v>113</v>
      </c>
      <c r="D5" s="8" t="s">
        <v>68</v>
      </c>
      <c r="E5" s="8" t="s">
        <v>34</v>
      </c>
      <c r="F5" s="8" t="s">
        <v>170</v>
      </c>
      <c r="G5" s="8" t="s">
        <v>258</v>
      </c>
      <c r="H5" s="8" t="s">
        <v>70</v>
      </c>
      <c r="I5" s="8" t="s">
        <v>122</v>
      </c>
      <c r="J5" s="8" t="s">
        <v>174</v>
      </c>
      <c r="L5" s="11" t="s">
        <v>30</v>
      </c>
      <c r="M5" s="11" t="s">
        <v>208</v>
      </c>
      <c r="N5" s="11" t="s">
        <v>29</v>
      </c>
      <c r="O5" s="11" t="s">
        <v>31</v>
      </c>
      <c r="P5" s="10" t="s">
        <v>114</v>
      </c>
      <c r="Q5" s="2" t="s">
        <v>184</v>
      </c>
      <c r="R5" s="2" t="s">
        <v>185</v>
      </c>
      <c r="S5" s="2" t="s">
        <v>186</v>
      </c>
    </row>
    <row r="6" spans="1:19" s="30" customFormat="1" ht="15.75">
      <c r="A6" s="26" t="s">
        <v>0</v>
      </c>
      <c r="B6" s="57" t="s">
        <v>263</v>
      </c>
      <c r="C6" s="243">
        <v>431</v>
      </c>
      <c r="D6" s="243">
        <v>416</v>
      </c>
      <c r="E6" s="43">
        <v>404</v>
      </c>
      <c r="F6" s="43"/>
      <c r="G6" s="243">
        <v>445</v>
      </c>
      <c r="H6" s="43">
        <v>399</v>
      </c>
      <c r="I6" s="43">
        <v>392</v>
      </c>
      <c r="J6" s="139"/>
      <c r="K6" s="214"/>
      <c r="L6" s="28">
        <f aca="true" t="shared" si="0" ref="L6:L22">SUM(C6:J6)</f>
        <v>2487</v>
      </c>
      <c r="M6" s="26">
        <v>5</v>
      </c>
      <c r="N6" s="26">
        <v>3</v>
      </c>
      <c r="O6" s="26">
        <v>8</v>
      </c>
      <c r="P6" s="26">
        <v>2</v>
      </c>
      <c r="Q6" s="29">
        <v>1</v>
      </c>
      <c r="R6" s="29"/>
      <c r="S6" s="29"/>
    </row>
    <row r="7" spans="1:19" s="148" customFormat="1" ht="15.75">
      <c r="A7" s="19" t="s">
        <v>1</v>
      </c>
      <c r="B7" s="137" t="s">
        <v>23</v>
      </c>
      <c r="C7" s="244">
        <v>450</v>
      </c>
      <c r="D7" s="244">
        <v>442</v>
      </c>
      <c r="E7" s="42">
        <v>407</v>
      </c>
      <c r="F7" s="244">
        <v>439</v>
      </c>
      <c r="G7" s="244">
        <v>453</v>
      </c>
      <c r="H7" s="42"/>
      <c r="I7" s="42"/>
      <c r="J7" s="44">
        <v>367</v>
      </c>
      <c r="K7" s="211"/>
      <c r="L7" s="175">
        <f t="shared" si="0"/>
        <v>2558</v>
      </c>
      <c r="M7" s="145">
        <v>6</v>
      </c>
      <c r="N7" s="145">
        <v>2</v>
      </c>
      <c r="O7" s="175">
        <f>L7-2307</f>
        <v>251</v>
      </c>
      <c r="P7" s="145">
        <v>2</v>
      </c>
      <c r="Q7" s="176">
        <v>1</v>
      </c>
      <c r="R7" s="176"/>
      <c r="S7" s="176"/>
    </row>
    <row r="8" spans="1:19" s="114" customFormat="1" ht="15.75">
      <c r="A8" s="110" t="s">
        <v>2</v>
      </c>
      <c r="B8" s="123" t="s">
        <v>260</v>
      </c>
      <c r="C8" s="118">
        <v>405</v>
      </c>
      <c r="D8" s="255">
        <v>463</v>
      </c>
      <c r="E8" s="118">
        <v>396</v>
      </c>
      <c r="F8" s="118"/>
      <c r="G8" s="255">
        <v>441</v>
      </c>
      <c r="H8" s="118">
        <v>405</v>
      </c>
      <c r="I8" s="255">
        <v>438</v>
      </c>
      <c r="J8" s="135"/>
      <c r="K8" s="54"/>
      <c r="L8" s="109">
        <f t="shared" si="0"/>
        <v>2548</v>
      </c>
      <c r="M8" s="110">
        <v>3</v>
      </c>
      <c r="N8" s="110">
        <v>5</v>
      </c>
      <c r="O8" s="110">
        <v>-46</v>
      </c>
      <c r="P8" s="110">
        <v>0</v>
      </c>
      <c r="Q8" s="113"/>
      <c r="R8" s="113"/>
      <c r="S8" s="113">
        <v>1</v>
      </c>
    </row>
    <row r="9" spans="1:19" s="148" customFormat="1" ht="15.75">
      <c r="A9" s="19" t="s">
        <v>3</v>
      </c>
      <c r="B9" s="137" t="s">
        <v>209</v>
      </c>
      <c r="C9" s="42"/>
      <c r="D9" s="244">
        <v>423</v>
      </c>
      <c r="E9" s="42"/>
      <c r="F9" s="42">
        <v>405</v>
      </c>
      <c r="G9" s="244">
        <v>447</v>
      </c>
      <c r="H9" s="244">
        <v>425</v>
      </c>
      <c r="I9" s="42">
        <v>408</v>
      </c>
      <c r="J9" s="44">
        <v>406</v>
      </c>
      <c r="K9" s="211"/>
      <c r="L9" s="175">
        <f t="shared" si="0"/>
        <v>2514</v>
      </c>
      <c r="M9" s="145">
        <v>5</v>
      </c>
      <c r="N9" s="145">
        <v>3</v>
      </c>
      <c r="O9" s="175">
        <f>L9-2502</f>
        <v>12</v>
      </c>
      <c r="P9" s="145">
        <v>2</v>
      </c>
      <c r="Q9" s="176">
        <v>1</v>
      </c>
      <c r="R9" s="176"/>
      <c r="S9" s="176"/>
    </row>
    <row r="10" spans="1:19" s="30" customFormat="1" ht="15.75">
      <c r="A10" s="26" t="s">
        <v>4</v>
      </c>
      <c r="B10" s="57" t="s">
        <v>16</v>
      </c>
      <c r="C10" s="43">
        <v>371</v>
      </c>
      <c r="D10" s="43">
        <v>400</v>
      </c>
      <c r="E10" s="43"/>
      <c r="F10" s="43">
        <v>413</v>
      </c>
      <c r="G10" s="243">
        <v>456</v>
      </c>
      <c r="H10" s="43">
        <v>403</v>
      </c>
      <c r="I10" s="43"/>
      <c r="J10" s="47">
        <v>424</v>
      </c>
      <c r="K10" s="214"/>
      <c r="L10" s="28">
        <f t="shared" si="0"/>
        <v>2467</v>
      </c>
      <c r="M10" s="26">
        <v>1</v>
      </c>
      <c r="N10" s="26">
        <v>7</v>
      </c>
      <c r="O10" s="26">
        <v>-207</v>
      </c>
      <c r="P10" s="26">
        <v>0</v>
      </c>
      <c r="Q10" s="29"/>
      <c r="R10" s="29"/>
      <c r="S10" s="29">
        <v>1</v>
      </c>
    </row>
    <row r="11" spans="1:19" s="148" customFormat="1" ht="15.75">
      <c r="A11" s="19" t="s">
        <v>5</v>
      </c>
      <c r="B11" s="137" t="s">
        <v>205</v>
      </c>
      <c r="C11" s="42"/>
      <c r="D11" s="244">
        <v>436</v>
      </c>
      <c r="E11" s="42"/>
      <c r="F11" s="244">
        <v>416</v>
      </c>
      <c r="G11" s="244">
        <v>436</v>
      </c>
      <c r="H11" s="42">
        <v>390</v>
      </c>
      <c r="I11" s="42">
        <v>401</v>
      </c>
      <c r="J11" s="44">
        <v>393</v>
      </c>
      <c r="K11" s="211"/>
      <c r="L11" s="175">
        <f t="shared" si="0"/>
        <v>2472</v>
      </c>
      <c r="M11" s="145">
        <v>5</v>
      </c>
      <c r="N11" s="145">
        <v>3</v>
      </c>
      <c r="O11" s="175">
        <v>26</v>
      </c>
      <c r="P11" s="145">
        <v>2</v>
      </c>
      <c r="Q11" s="176">
        <v>1</v>
      </c>
      <c r="R11" s="176"/>
      <c r="S11" s="176"/>
    </row>
    <row r="12" spans="1:19" s="114" customFormat="1" ht="15.75">
      <c r="A12" s="110" t="s">
        <v>6</v>
      </c>
      <c r="B12" s="123" t="s">
        <v>21</v>
      </c>
      <c r="C12" s="255">
        <v>428</v>
      </c>
      <c r="D12" s="255">
        <v>431</v>
      </c>
      <c r="E12" s="118"/>
      <c r="F12" s="255">
        <v>437</v>
      </c>
      <c r="G12" s="255">
        <v>440</v>
      </c>
      <c r="H12" s="118"/>
      <c r="I12" s="255">
        <v>423</v>
      </c>
      <c r="J12" s="135">
        <v>373</v>
      </c>
      <c r="K12" s="54"/>
      <c r="L12" s="109">
        <f t="shared" si="0"/>
        <v>2532</v>
      </c>
      <c r="M12" s="110">
        <v>7</v>
      </c>
      <c r="N12" s="110">
        <v>1</v>
      </c>
      <c r="O12" s="109">
        <v>95</v>
      </c>
      <c r="P12" s="110">
        <v>2</v>
      </c>
      <c r="Q12" s="113">
        <v>1</v>
      </c>
      <c r="R12" s="113"/>
      <c r="S12" s="113"/>
    </row>
    <row r="13" spans="1:19" s="148" customFormat="1" ht="15.75">
      <c r="A13" s="19" t="s">
        <v>7</v>
      </c>
      <c r="B13" s="137" t="s">
        <v>26</v>
      </c>
      <c r="C13" s="42">
        <v>436</v>
      </c>
      <c r="D13" s="244">
        <v>459</v>
      </c>
      <c r="E13" s="42"/>
      <c r="F13" s="42"/>
      <c r="G13" s="42">
        <v>448</v>
      </c>
      <c r="H13" s="244">
        <v>456</v>
      </c>
      <c r="I13" s="42">
        <v>433</v>
      </c>
      <c r="J13" s="44">
        <v>398</v>
      </c>
      <c r="K13" s="211"/>
      <c r="L13" s="175">
        <f t="shared" si="0"/>
        <v>2630</v>
      </c>
      <c r="M13" s="145">
        <v>2</v>
      </c>
      <c r="N13" s="145">
        <v>6</v>
      </c>
      <c r="O13" s="145">
        <v>-39</v>
      </c>
      <c r="P13" s="145">
        <v>0</v>
      </c>
      <c r="Q13" s="176"/>
      <c r="R13" s="176"/>
      <c r="S13" s="176">
        <v>1</v>
      </c>
    </row>
    <row r="14" spans="1:19" s="148" customFormat="1" ht="15.75">
      <c r="A14" s="19" t="s">
        <v>8</v>
      </c>
      <c r="B14" s="137" t="s">
        <v>255</v>
      </c>
      <c r="C14" s="215"/>
      <c r="D14" s="215"/>
      <c r="E14" s="215"/>
      <c r="F14" s="215"/>
      <c r="G14" s="215"/>
      <c r="H14" s="215"/>
      <c r="I14" s="215"/>
      <c r="J14" s="215"/>
      <c r="K14" s="216"/>
      <c r="L14" s="175" t="s">
        <v>255</v>
      </c>
      <c r="M14" s="161"/>
      <c r="N14" s="161"/>
      <c r="O14" s="162"/>
      <c r="P14" s="161"/>
      <c r="Q14" s="163"/>
      <c r="R14" s="163"/>
      <c r="S14" s="163"/>
    </row>
    <row r="15" spans="1:19" s="30" customFormat="1" ht="15.75">
      <c r="A15" s="26" t="s">
        <v>9</v>
      </c>
      <c r="B15" s="57" t="s">
        <v>206</v>
      </c>
      <c r="C15" s="243">
        <v>451</v>
      </c>
      <c r="D15" s="43">
        <v>409</v>
      </c>
      <c r="E15" s="243">
        <v>430</v>
      </c>
      <c r="F15" s="243">
        <v>451</v>
      </c>
      <c r="G15" s="243">
        <v>449</v>
      </c>
      <c r="H15" s="43">
        <v>391</v>
      </c>
      <c r="I15" s="43"/>
      <c r="J15" s="47"/>
      <c r="K15" s="214"/>
      <c r="L15" s="28">
        <f t="shared" si="0"/>
        <v>2581</v>
      </c>
      <c r="M15" s="26">
        <v>6</v>
      </c>
      <c r="N15" s="26">
        <v>2</v>
      </c>
      <c r="O15" s="28">
        <f>L15-2431</f>
        <v>150</v>
      </c>
      <c r="P15" s="26">
        <v>2</v>
      </c>
      <c r="Q15" s="29">
        <v>1</v>
      </c>
      <c r="R15" s="29"/>
      <c r="S15" s="29"/>
    </row>
    <row r="16" spans="1:19" s="148" customFormat="1" ht="15.75">
      <c r="A16" s="19" t="s">
        <v>10</v>
      </c>
      <c r="B16" s="137" t="s">
        <v>20</v>
      </c>
      <c r="C16" s="244">
        <v>423</v>
      </c>
      <c r="D16" s="42">
        <v>409</v>
      </c>
      <c r="E16" s="244">
        <v>427</v>
      </c>
      <c r="F16" s="244">
        <v>445</v>
      </c>
      <c r="G16" s="244">
        <v>459</v>
      </c>
      <c r="H16" s="42">
        <v>395</v>
      </c>
      <c r="I16" s="42"/>
      <c r="J16" s="44"/>
      <c r="K16" s="211"/>
      <c r="L16" s="175">
        <f t="shared" si="0"/>
        <v>2558</v>
      </c>
      <c r="M16" s="145">
        <v>6</v>
      </c>
      <c r="N16" s="145">
        <v>2</v>
      </c>
      <c r="O16" s="175">
        <f>L16-2525</f>
        <v>33</v>
      </c>
      <c r="P16" s="145">
        <v>2</v>
      </c>
      <c r="Q16" s="176">
        <v>1</v>
      </c>
      <c r="R16" s="176"/>
      <c r="S16" s="176"/>
    </row>
    <row r="17" spans="1:19" s="30" customFormat="1" ht="15.75">
      <c r="A17" s="110" t="s">
        <v>11</v>
      </c>
      <c r="B17" s="123" t="s">
        <v>22</v>
      </c>
      <c r="C17" s="266">
        <v>413</v>
      </c>
      <c r="D17" s="266">
        <v>406</v>
      </c>
      <c r="E17" s="255">
        <v>416</v>
      </c>
      <c r="F17" s="118">
        <v>395</v>
      </c>
      <c r="G17" s="266">
        <v>402</v>
      </c>
      <c r="H17" s="164"/>
      <c r="I17" s="47">
        <v>402</v>
      </c>
      <c r="J17" s="47"/>
      <c r="K17" s="214"/>
      <c r="L17" s="28">
        <f t="shared" si="0"/>
        <v>2434</v>
      </c>
      <c r="M17" s="26">
        <v>6</v>
      </c>
      <c r="N17" s="26">
        <v>2</v>
      </c>
      <c r="O17" s="28">
        <f>L17-2336</f>
        <v>98</v>
      </c>
      <c r="P17" s="26">
        <v>2</v>
      </c>
      <c r="Q17" s="29">
        <v>1</v>
      </c>
      <c r="R17" s="29"/>
      <c r="S17" s="29"/>
    </row>
    <row r="18" spans="1:19" s="23" customFormat="1" ht="15.75">
      <c r="A18" s="100" t="s">
        <v>12</v>
      </c>
      <c r="B18" s="121" t="s">
        <v>196</v>
      </c>
      <c r="C18" s="258">
        <v>451</v>
      </c>
      <c r="D18" s="120"/>
      <c r="E18" s="258">
        <v>440</v>
      </c>
      <c r="F18" s="258">
        <v>444</v>
      </c>
      <c r="G18" s="120"/>
      <c r="H18" s="258">
        <v>443</v>
      </c>
      <c r="I18" s="258">
        <v>446</v>
      </c>
      <c r="J18" s="129">
        <v>409</v>
      </c>
      <c r="K18" s="212"/>
      <c r="L18" s="21">
        <f t="shared" si="0"/>
        <v>2633</v>
      </c>
      <c r="M18" s="19">
        <v>7</v>
      </c>
      <c r="N18" s="19">
        <v>1</v>
      </c>
      <c r="O18" s="21">
        <v>128</v>
      </c>
      <c r="P18" s="19">
        <v>2</v>
      </c>
      <c r="Q18" s="22">
        <v>1</v>
      </c>
      <c r="R18" s="22"/>
      <c r="S18" s="22"/>
    </row>
    <row r="19" spans="1:19" s="114" customFormat="1" ht="15.75">
      <c r="A19" s="110" t="s">
        <v>13</v>
      </c>
      <c r="B19" s="123" t="s">
        <v>19</v>
      </c>
      <c r="C19" s="118"/>
      <c r="D19" s="118">
        <v>414</v>
      </c>
      <c r="E19" s="255">
        <v>440</v>
      </c>
      <c r="F19" s="118">
        <v>412</v>
      </c>
      <c r="G19" s="255">
        <v>467</v>
      </c>
      <c r="H19" s="255">
        <v>436</v>
      </c>
      <c r="I19" s="118"/>
      <c r="J19" s="135">
        <v>354</v>
      </c>
      <c r="K19" s="54"/>
      <c r="L19" s="109">
        <f t="shared" si="0"/>
        <v>2523</v>
      </c>
      <c r="M19" s="110">
        <v>3</v>
      </c>
      <c r="N19" s="110">
        <v>5</v>
      </c>
      <c r="O19" s="109">
        <v>-18</v>
      </c>
      <c r="P19" s="110">
        <v>0</v>
      </c>
      <c r="Q19" s="113"/>
      <c r="R19" s="113"/>
      <c r="S19" s="113">
        <v>1</v>
      </c>
    </row>
    <row r="20" spans="1:19" s="23" customFormat="1" ht="15.75">
      <c r="A20" s="100" t="s">
        <v>14</v>
      </c>
      <c r="B20" s="121" t="s">
        <v>24</v>
      </c>
      <c r="C20" s="120">
        <v>418</v>
      </c>
      <c r="D20" s="258">
        <v>425</v>
      </c>
      <c r="E20" s="258">
        <v>434</v>
      </c>
      <c r="F20" s="120">
        <v>415</v>
      </c>
      <c r="G20" s="258">
        <v>452</v>
      </c>
      <c r="H20" s="120"/>
      <c r="I20" s="120">
        <v>399</v>
      </c>
      <c r="J20" s="129"/>
      <c r="K20" s="212"/>
      <c r="L20" s="21">
        <f t="shared" si="0"/>
        <v>2543</v>
      </c>
      <c r="M20" s="19">
        <v>3</v>
      </c>
      <c r="N20" s="19">
        <v>5</v>
      </c>
      <c r="O20" s="21">
        <v>-102</v>
      </c>
      <c r="P20" s="19">
        <v>0</v>
      </c>
      <c r="Q20" s="22"/>
      <c r="R20" s="22"/>
      <c r="S20" s="22">
        <v>1</v>
      </c>
    </row>
    <row r="21" spans="1:19" s="30" customFormat="1" ht="15.75">
      <c r="A21" s="26" t="s">
        <v>261</v>
      </c>
      <c r="B21" s="57" t="s">
        <v>17</v>
      </c>
      <c r="C21" s="243">
        <v>438</v>
      </c>
      <c r="D21" s="43">
        <v>406</v>
      </c>
      <c r="E21" s="243">
        <v>427</v>
      </c>
      <c r="F21" s="43">
        <v>413</v>
      </c>
      <c r="G21" s="243">
        <v>461</v>
      </c>
      <c r="H21" s="43">
        <v>423</v>
      </c>
      <c r="I21" s="43"/>
      <c r="J21" s="47"/>
      <c r="K21" s="214"/>
      <c r="L21" s="28">
        <f t="shared" si="0"/>
        <v>2568</v>
      </c>
      <c r="M21" s="26">
        <v>5</v>
      </c>
      <c r="N21" s="26">
        <v>3</v>
      </c>
      <c r="O21" s="28">
        <v>10</v>
      </c>
      <c r="P21" s="26">
        <v>2</v>
      </c>
      <c r="Q21" s="29">
        <v>1</v>
      </c>
      <c r="R21" s="29"/>
      <c r="S21" s="29"/>
    </row>
    <row r="22" spans="1:19" s="23" customFormat="1" ht="16.5" thickBot="1">
      <c r="A22" s="100" t="s">
        <v>262</v>
      </c>
      <c r="B22" s="121" t="s">
        <v>15</v>
      </c>
      <c r="C22" s="288">
        <v>457</v>
      </c>
      <c r="D22" s="122">
        <v>394</v>
      </c>
      <c r="E22" s="122">
        <v>389</v>
      </c>
      <c r="F22" s="288">
        <v>424</v>
      </c>
      <c r="G22" s="288">
        <v>438</v>
      </c>
      <c r="H22" s="122">
        <v>403</v>
      </c>
      <c r="I22" s="122"/>
      <c r="J22" s="122"/>
      <c r="K22" s="213"/>
      <c r="L22" s="24">
        <f t="shared" si="0"/>
        <v>2505</v>
      </c>
      <c r="M22" s="25">
        <v>3</v>
      </c>
      <c r="N22" s="25">
        <v>5</v>
      </c>
      <c r="O22" s="24">
        <v>-61</v>
      </c>
      <c r="P22" s="25">
        <v>0</v>
      </c>
      <c r="Q22" s="76"/>
      <c r="R22" s="76"/>
      <c r="S22" s="76">
        <v>1</v>
      </c>
    </row>
    <row r="23" spans="3:19" ht="16.5" thickTop="1">
      <c r="C23" s="6">
        <f aca="true" t="shared" si="1" ref="C23:I23">SUM(C6:C22)</f>
        <v>5572</v>
      </c>
      <c r="D23" s="6">
        <f t="shared" si="1"/>
        <v>6333</v>
      </c>
      <c r="E23" s="6">
        <f t="shared" si="1"/>
        <v>4610</v>
      </c>
      <c r="F23" s="6">
        <f t="shared" si="1"/>
        <v>5509</v>
      </c>
      <c r="G23" s="6">
        <f t="shared" si="1"/>
        <v>6694</v>
      </c>
      <c r="H23" s="6">
        <f t="shared" si="1"/>
        <v>4969</v>
      </c>
      <c r="I23" s="6">
        <f t="shared" si="1"/>
        <v>3742</v>
      </c>
      <c r="J23" s="6">
        <f>SUM(J6:J22)</f>
        <v>3124</v>
      </c>
      <c r="Q23" s="2">
        <f>SUM(Q6:Q22)</f>
        <v>10</v>
      </c>
      <c r="R23" s="2">
        <f>SUM(R6:R22)</f>
        <v>0</v>
      </c>
      <c r="S23" s="2">
        <f>SUM(S6:S22)</f>
        <v>6</v>
      </c>
    </row>
    <row r="24" spans="2:10" ht="15.75">
      <c r="B24" s="1" t="s">
        <v>225</v>
      </c>
      <c r="C24" s="6">
        <f>COUNT(C6:C22)</f>
        <v>13</v>
      </c>
      <c r="D24" s="6">
        <f aca="true" t="shared" si="2" ref="D24:I24">COUNT(D6:D22)</f>
        <v>15</v>
      </c>
      <c r="E24" s="6">
        <f t="shared" si="2"/>
        <v>11</v>
      </c>
      <c r="F24" s="6">
        <f t="shared" si="2"/>
        <v>13</v>
      </c>
      <c r="G24" s="6">
        <f t="shared" si="2"/>
        <v>15</v>
      </c>
      <c r="H24" s="6">
        <f t="shared" si="2"/>
        <v>12</v>
      </c>
      <c r="I24" s="6">
        <f t="shared" si="2"/>
        <v>9</v>
      </c>
      <c r="J24" s="6">
        <f>COUNT(J6:J22)</f>
        <v>8</v>
      </c>
    </row>
    <row r="25" spans="2:19" ht="33" customHeight="1">
      <c r="B25" s="11" t="s">
        <v>127</v>
      </c>
      <c r="C25" s="16">
        <f>AVERAGE(C6:C22)</f>
        <v>428.61538461538464</v>
      </c>
      <c r="D25" s="16">
        <f aca="true" t="shared" si="3" ref="D25:I25">AVERAGE(D6:D22)</f>
        <v>422.2</v>
      </c>
      <c r="E25" s="16">
        <f t="shared" si="3"/>
        <v>419.09090909090907</v>
      </c>
      <c r="F25" s="16">
        <f t="shared" si="3"/>
        <v>423.7692307692308</v>
      </c>
      <c r="G25" s="16">
        <f t="shared" si="3"/>
        <v>446.26666666666665</v>
      </c>
      <c r="H25" s="16">
        <f t="shared" si="3"/>
        <v>414.0833333333333</v>
      </c>
      <c r="I25" s="16">
        <f t="shared" si="3"/>
        <v>415.77777777777777</v>
      </c>
      <c r="J25" s="16">
        <f>AVERAGE(J6:J22)</f>
        <v>390.5</v>
      </c>
      <c r="L25" s="3" t="s">
        <v>30</v>
      </c>
      <c r="M25" s="371" t="s">
        <v>115</v>
      </c>
      <c r="N25" s="371"/>
      <c r="O25" s="3" t="s">
        <v>31</v>
      </c>
      <c r="P25" s="10" t="s">
        <v>116</v>
      </c>
      <c r="R25" s="74" t="s">
        <v>126</v>
      </c>
      <c r="S25" s="74" t="s">
        <v>223</v>
      </c>
    </row>
    <row r="26" spans="12:19" ht="15.75">
      <c r="L26" s="6">
        <f>SUM(L6:L22)</f>
        <v>40553</v>
      </c>
      <c r="M26" s="1">
        <f>SUM(M6:M22)</f>
        <v>73</v>
      </c>
      <c r="N26" s="1">
        <f>SUM(N6:N22)</f>
        <v>55</v>
      </c>
      <c r="O26" s="1">
        <f>SUM(O6:O22)</f>
        <v>338</v>
      </c>
      <c r="P26" s="1">
        <f>SUM(P6:P22)</f>
        <v>20</v>
      </c>
      <c r="R26" s="2">
        <f>M26-N26</f>
        <v>18</v>
      </c>
      <c r="S26" s="2">
        <f>SUM(Q23:S23)</f>
        <v>16</v>
      </c>
    </row>
    <row r="28" spans="3:10" ht="15.75">
      <c r="C28" s="379" t="s">
        <v>39</v>
      </c>
      <c r="D28" s="379"/>
      <c r="F28" s="375" t="s">
        <v>132</v>
      </c>
      <c r="G28" s="375"/>
      <c r="I28" s="376" t="s">
        <v>133</v>
      </c>
      <c r="J28" s="376"/>
    </row>
    <row r="29" spans="1:19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226"/>
      <c r="R29" s="226"/>
      <c r="S29" s="226"/>
    </row>
    <row r="30" ht="15.75">
      <c r="F30" s="49"/>
    </row>
    <row r="31" spans="2:19" ht="48" thickBot="1">
      <c r="B31" s="3" t="s">
        <v>25</v>
      </c>
      <c r="C31" s="8" t="s">
        <v>113</v>
      </c>
      <c r="D31" s="8" t="s">
        <v>68</v>
      </c>
      <c r="E31" s="8" t="s">
        <v>34</v>
      </c>
      <c r="F31" s="8" t="s">
        <v>170</v>
      </c>
      <c r="G31" s="8" t="s">
        <v>258</v>
      </c>
      <c r="H31" s="8" t="s">
        <v>70</v>
      </c>
      <c r="I31" s="8" t="s">
        <v>122</v>
      </c>
      <c r="J31" s="8" t="s">
        <v>174</v>
      </c>
      <c r="K31" s="8"/>
      <c r="L31" s="11" t="s">
        <v>30</v>
      </c>
      <c r="M31" s="11" t="s">
        <v>208</v>
      </c>
      <c r="N31" s="11" t="s">
        <v>29</v>
      </c>
      <c r="O31" s="11" t="s">
        <v>31</v>
      </c>
      <c r="P31" s="10" t="s">
        <v>114</v>
      </c>
      <c r="Q31" s="2" t="s">
        <v>184</v>
      </c>
      <c r="R31" s="2" t="s">
        <v>185</v>
      </c>
      <c r="S31" s="2" t="s">
        <v>186</v>
      </c>
    </row>
    <row r="32" spans="1:16" s="299" customFormat="1" ht="15.75">
      <c r="A32" s="293" t="s">
        <v>153</v>
      </c>
      <c r="B32" s="294" t="s">
        <v>255</v>
      </c>
      <c r="C32" s="300"/>
      <c r="D32" s="300"/>
      <c r="E32" s="300"/>
      <c r="F32" s="300"/>
      <c r="G32" s="300"/>
      <c r="H32" s="300"/>
      <c r="I32" s="300"/>
      <c r="J32" s="300"/>
      <c r="K32" s="300"/>
      <c r="L32" s="297">
        <f>SUM(C32:K32)</f>
        <v>0</v>
      </c>
      <c r="M32" s="293"/>
      <c r="N32" s="293"/>
      <c r="O32" s="293"/>
      <c r="P32" s="293"/>
    </row>
    <row r="33" spans="1:19" s="23" customFormat="1" ht="15.75">
      <c r="A33" s="145" t="s">
        <v>154</v>
      </c>
      <c r="B33" s="153" t="s">
        <v>206</v>
      </c>
      <c r="C33" s="257">
        <v>438</v>
      </c>
      <c r="D33" s="257">
        <v>417</v>
      </c>
      <c r="E33" s="146"/>
      <c r="F33" s="257">
        <v>434</v>
      </c>
      <c r="G33" s="146">
        <v>203</v>
      </c>
      <c r="H33" s="146">
        <v>404</v>
      </c>
      <c r="I33" s="146">
        <v>409</v>
      </c>
      <c r="J33" s="146">
        <v>192</v>
      </c>
      <c r="K33" s="146"/>
      <c r="L33" s="69">
        <f aca="true" t="shared" si="4" ref="L33:L48">SUM(C33:K33)</f>
        <v>2497</v>
      </c>
      <c r="M33" s="19">
        <v>3</v>
      </c>
      <c r="N33" s="19">
        <v>5</v>
      </c>
      <c r="O33" s="19">
        <v>-46</v>
      </c>
      <c r="P33" s="19">
        <v>0</v>
      </c>
      <c r="S33" s="23">
        <v>1</v>
      </c>
    </row>
    <row r="34" spans="1:19" s="114" customFormat="1" ht="15.75">
      <c r="A34" s="26" t="s">
        <v>155</v>
      </c>
      <c r="B34" s="57" t="s">
        <v>20</v>
      </c>
      <c r="C34" s="243">
        <v>431</v>
      </c>
      <c r="D34" s="43">
        <v>417</v>
      </c>
      <c r="E34" s="43"/>
      <c r="F34" s="243">
        <v>437</v>
      </c>
      <c r="G34" s="243">
        <v>474</v>
      </c>
      <c r="H34" s="43">
        <v>383</v>
      </c>
      <c r="I34" s="43">
        <v>403</v>
      </c>
      <c r="J34" s="43"/>
      <c r="K34" s="43"/>
      <c r="L34" s="112">
        <f t="shared" si="4"/>
        <v>2545</v>
      </c>
      <c r="M34" s="110">
        <v>3</v>
      </c>
      <c r="N34" s="110">
        <v>5</v>
      </c>
      <c r="O34" s="110">
        <v>-42</v>
      </c>
      <c r="P34" s="110">
        <v>0</v>
      </c>
      <c r="S34" s="114">
        <v>1</v>
      </c>
    </row>
    <row r="35" spans="1:17" s="148" customFormat="1" ht="15.75">
      <c r="A35" s="100" t="s">
        <v>156</v>
      </c>
      <c r="B35" s="121" t="s">
        <v>22</v>
      </c>
      <c r="C35" s="120">
        <v>394</v>
      </c>
      <c r="D35" s="258">
        <v>414</v>
      </c>
      <c r="E35" s="258">
        <v>415</v>
      </c>
      <c r="F35" s="120"/>
      <c r="G35" s="258">
        <v>480</v>
      </c>
      <c r="H35" s="120"/>
      <c r="I35" s="258">
        <v>396</v>
      </c>
      <c r="J35" s="120">
        <v>378</v>
      </c>
      <c r="K35" s="120"/>
      <c r="L35" s="147">
        <f t="shared" si="4"/>
        <v>2477</v>
      </c>
      <c r="M35" s="145">
        <v>6</v>
      </c>
      <c r="N35" s="145">
        <v>2</v>
      </c>
      <c r="O35" s="145">
        <v>120</v>
      </c>
      <c r="P35" s="145">
        <v>2</v>
      </c>
      <c r="Q35" s="148">
        <v>1</v>
      </c>
    </row>
    <row r="36" spans="1:17" s="114" customFormat="1" ht="15.75">
      <c r="A36" s="26" t="s">
        <v>157</v>
      </c>
      <c r="B36" s="57" t="s">
        <v>196</v>
      </c>
      <c r="C36" s="43">
        <v>394</v>
      </c>
      <c r="D36" s="243">
        <v>447</v>
      </c>
      <c r="E36" s="43"/>
      <c r="F36" s="43">
        <v>400</v>
      </c>
      <c r="G36" s="243">
        <v>457</v>
      </c>
      <c r="H36" s="43">
        <v>408</v>
      </c>
      <c r="I36" s="243">
        <v>436</v>
      </c>
      <c r="J36" s="43"/>
      <c r="K36" s="43"/>
      <c r="L36" s="112">
        <f t="shared" si="4"/>
        <v>2542</v>
      </c>
      <c r="M36" s="110">
        <v>5</v>
      </c>
      <c r="N36" s="110">
        <v>3</v>
      </c>
      <c r="O36" s="110">
        <v>102</v>
      </c>
      <c r="P36" s="110">
        <v>2</v>
      </c>
      <c r="Q36" s="114">
        <v>1</v>
      </c>
    </row>
    <row r="37" spans="1:17" s="104" customFormat="1" ht="15.75">
      <c r="A37" s="19" t="s">
        <v>158</v>
      </c>
      <c r="B37" s="137" t="s">
        <v>19</v>
      </c>
      <c r="C37" s="244">
        <v>425</v>
      </c>
      <c r="D37" s="42">
        <v>412</v>
      </c>
      <c r="E37" s="42">
        <v>413</v>
      </c>
      <c r="F37" s="244">
        <v>445</v>
      </c>
      <c r="G37" s="244">
        <v>441</v>
      </c>
      <c r="H37" s="42"/>
      <c r="I37" s="244">
        <v>425</v>
      </c>
      <c r="J37" s="42"/>
      <c r="K37" s="42"/>
      <c r="L37" s="102">
        <f t="shared" si="4"/>
        <v>2561</v>
      </c>
      <c r="M37" s="100">
        <v>6</v>
      </c>
      <c r="N37" s="100">
        <v>2</v>
      </c>
      <c r="O37" s="100">
        <v>23</v>
      </c>
      <c r="P37" s="100">
        <v>2</v>
      </c>
      <c r="Q37" s="104">
        <v>1</v>
      </c>
    </row>
    <row r="38" spans="1:19" s="114" customFormat="1" ht="15.75">
      <c r="A38" s="26" t="s">
        <v>159</v>
      </c>
      <c r="B38" s="57" t="s">
        <v>24</v>
      </c>
      <c r="C38" s="43">
        <v>419</v>
      </c>
      <c r="D38" s="43">
        <v>426</v>
      </c>
      <c r="E38" s="43"/>
      <c r="F38" s="43"/>
      <c r="G38" s="243">
        <v>463</v>
      </c>
      <c r="H38" s="43">
        <v>397</v>
      </c>
      <c r="I38" s="43">
        <v>410</v>
      </c>
      <c r="J38" s="43">
        <v>343</v>
      </c>
      <c r="K38" s="43"/>
      <c r="L38" s="112">
        <f t="shared" si="4"/>
        <v>2458</v>
      </c>
      <c r="M38" s="110">
        <v>1</v>
      </c>
      <c r="N38" s="110">
        <v>7</v>
      </c>
      <c r="O38" s="110">
        <v>-172</v>
      </c>
      <c r="P38" s="110">
        <v>0</v>
      </c>
      <c r="S38" s="114">
        <v>1</v>
      </c>
    </row>
    <row r="39" spans="1:19" s="23" customFormat="1" ht="15.75">
      <c r="A39" s="145" t="s">
        <v>160</v>
      </c>
      <c r="B39" s="153" t="s">
        <v>17</v>
      </c>
      <c r="C39" s="146"/>
      <c r="D39" s="257">
        <v>444</v>
      </c>
      <c r="E39" s="146">
        <v>408</v>
      </c>
      <c r="F39" s="257">
        <v>442</v>
      </c>
      <c r="G39" s="257">
        <v>435</v>
      </c>
      <c r="H39" s="146">
        <v>400</v>
      </c>
      <c r="I39" s="146">
        <v>407</v>
      </c>
      <c r="J39" s="146"/>
      <c r="K39" s="146"/>
      <c r="L39" s="69">
        <f t="shared" si="4"/>
        <v>2536</v>
      </c>
      <c r="M39" s="19">
        <v>3</v>
      </c>
      <c r="N39" s="19">
        <v>5</v>
      </c>
      <c r="O39" s="19">
        <v>-2</v>
      </c>
      <c r="P39" s="19">
        <v>0</v>
      </c>
      <c r="S39" s="23">
        <v>1</v>
      </c>
    </row>
    <row r="40" spans="1:19" s="114" customFormat="1" ht="15.75">
      <c r="A40" s="26" t="s">
        <v>161</v>
      </c>
      <c r="B40" s="57" t="s">
        <v>15</v>
      </c>
      <c r="C40" s="243">
        <v>436</v>
      </c>
      <c r="D40" s="43">
        <v>386</v>
      </c>
      <c r="E40" s="43">
        <v>413</v>
      </c>
      <c r="F40" s="43">
        <v>384</v>
      </c>
      <c r="G40" s="243">
        <v>449</v>
      </c>
      <c r="H40" s="43"/>
      <c r="I40" s="243">
        <v>436</v>
      </c>
      <c r="J40" s="43"/>
      <c r="K40" s="43"/>
      <c r="L40" s="112">
        <f t="shared" si="4"/>
        <v>2504</v>
      </c>
      <c r="M40" s="110">
        <v>3</v>
      </c>
      <c r="N40" s="110">
        <v>5</v>
      </c>
      <c r="O40" s="110">
        <v>-11</v>
      </c>
      <c r="P40" s="110">
        <v>0</v>
      </c>
      <c r="S40" s="114">
        <v>1</v>
      </c>
    </row>
    <row r="41" spans="1:17" s="104" customFormat="1" ht="15.75">
      <c r="A41" s="19" t="s">
        <v>162</v>
      </c>
      <c r="B41" s="137" t="s">
        <v>263</v>
      </c>
      <c r="C41" s="42">
        <v>401</v>
      </c>
      <c r="D41" s="244">
        <v>422</v>
      </c>
      <c r="E41" s="244">
        <v>437</v>
      </c>
      <c r="F41" s="42"/>
      <c r="G41" s="42">
        <v>418</v>
      </c>
      <c r="H41" s="244">
        <v>438</v>
      </c>
      <c r="I41" s="42">
        <v>416</v>
      </c>
      <c r="J41" s="42"/>
      <c r="K41" s="42"/>
      <c r="L41" s="102">
        <f t="shared" si="4"/>
        <v>2532</v>
      </c>
      <c r="M41" s="100">
        <v>5</v>
      </c>
      <c r="N41" s="100">
        <v>3</v>
      </c>
      <c r="O41" s="100">
        <v>69</v>
      </c>
      <c r="P41" s="100">
        <v>2</v>
      </c>
      <c r="Q41" s="104">
        <v>1</v>
      </c>
    </row>
    <row r="42" spans="1:19" s="114" customFormat="1" ht="15.75">
      <c r="A42" s="26" t="s">
        <v>163</v>
      </c>
      <c r="B42" s="57" t="s">
        <v>23</v>
      </c>
      <c r="C42" s="43">
        <v>398</v>
      </c>
      <c r="D42" s="43">
        <v>417</v>
      </c>
      <c r="E42" s="43">
        <v>421</v>
      </c>
      <c r="F42" s="43"/>
      <c r="G42" s="243">
        <v>474</v>
      </c>
      <c r="H42" s="43">
        <v>415</v>
      </c>
      <c r="I42" s="243">
        <v>443</v>
      </c>
      <c r="J42" s="43"/>
      <c r="K42" s="43"/>
      <c r="L42" s="112">
        <f t="shared" si="4"/>
        <v>2568</v>
      </c>
      <c r="M42" s="110">
        <v>2</v>
      </c>
      <c r="N42" s="110">
        <v>6</v>
      </c>
      <c r="O42" s="110">
        <v>-5</v>
      </c>
      <c r="P42" s="110">
        <v>0</v>
      </c>
      <c r="S42" s="114">
        <v>1</v>
      </c>
    </row>
    <row r="43" spans="1:17" s="23" customFormat="1" ht="15.75">
      <c r="A43" s="145" t="s">
        <v>164</v>
      </c>
      <c r="B43" s="153" t="s">
        <v>260</v>
      </c>
      <c r="C43" s="146">
        <v>417</v>
      </c>
      <c r="D43" s="146">
        <v>409</v>
      </c>
      <c r="E43" s="146">
        <v>405</v>
      </c>
      <c r="F43" s="146"/>
      <c r="G43" s="257">
        <v>439</v>
      </c>
      <c r="H43" s="257">
        <v>425</v>
      </c>
      <c r="I43" s="257">
        <v>466</v>
      </c>
      <c r="J43" s="146"/>
      <c r="K43" s="146"/>
      <c r="L43" s="69">
        <f t="shared" si="4"/>
        <v>2561</v>
      </c>
      <c r="M43" s="19">
        <v>5</v>
      </c>
      <c r="N43" s="19">
        <v>3</v>
      </c>
      <c r="O43" s="19">
        <v>41</v>
      </c>
      <c r="P43" s="19">
        <v>2</v>
      </c>
      <c r="Q43" s="23">
        <v>1</v>
      </c>
    </row>
    <row r="44" spans="1:19" s="114" customFormat="1" ht="15.75">
      <c r="A44" s="26" t="s">
        <v>165</v>
      </c>
      <c r="B44" s="57" t="s">
        <v>209</v>
      </c>
      <c r="C44" s="43">
        <v>364</v>
      </c>
      <c r="D44" s="43">
        <v>380</v>
      </c>
      <c r="E44" s="43">
        <v>383</v>
      </c>
      <c r="F44" s="43"/>
      <c r="G44" s="243">
        <v>393</v>
      </c>
      <c r="H44" s="43">
        <v>369</v>
      </c>
      <c r="I44" s="243">
        <v>388</v>
      </c>
      <c r="J44" s="43"/>
      <c r="K44" s="43"/>
      <c r="L44" s="112">
        <f t="shared" si="4"/>
        <v>2277</v>
      </c>
      <c r="M44" s="110">
        <v>2</v>
      </c>
      <c r="N44" s="110">
        <v>6</v>
      </c>
      <c r="O44" s="110">
        <f>L44-2384</f>
        <v>-107</v>
      </c>
      <c r="P44" s="110">
        <v>0</v>
      </c>
      <c r="S44" s="114">
        <v>1</v>
      </c>
    </row>
    <row r="45" spans="1:19" s="148" customFormat="1" ht="15.75">
      <c r="A45" s="100" t="s">
        <v>265</v>
      </c>
      <c r="B45" s="121" t="s">
        <v>16</v>
      </c>
      <c r="C45" s="120">
        <v>419</v>
      </c>
      <c r="D45" s="120">
        <v>416</v>
      </c>
      <c r="E45" s="258">
        <v>436</v>
      </c>
      <c r="F45" s="120"/>
      <c r="G45" s="258">
        <v>431</v>
      </c>
      <c r="H45" s="120">
        <v>428</v>
      </c>
      <c r="I45" s="120">
        <v>390</v>
      </c>
      <c r="J45" s="120"/>
      <c r="K45" s="120"/>
      <c r="L45" s="147">
        <f t="shared" si="4"/>
        <v>2520</v>
      </c>
      <c r="M45" s="145">
        <v>2</v>
      </c>
      <c r="N45" s="145">
        <v>6</v>
      </c>
      <c r="O45" s="145">
        <v>-159</v>
      </c>
      <c r="P45" s="145">
        <v>0</v>
      </c>
      <c r="S45" s="148">
        <v>1</v>
      </c>
    </row>
    <row r="46" spans="1:19" s="114" customFormat="1" ht="15.75">
      <c r="A46" s="26" t="s">
        <v>266</v>
      </c>
      <c r="B46" s="57" t="s">
        <v>205</v>
      </c>
      <c r="C46" s="43">
        <v>417</v>
      </c>
      <c r="D46" s="243">
        <v>433</v>
      </c>
      <c r="E46" s="243">
        <v>438</v>
      </c>
      <c r="F46" s="43"/>
      <c r="G46" s="243">
        <v>423</v>
      </c>
      <c r="H46" s="43">
        <v>391</v>
      </c>
      <c r="I46" s="43">
        <v>417</v>
      </c>
      <c r="J46" s="43"/>
      <c r="K46" s="43"/>
      <c r="L46" s="112">
        <f t="shared" si="4"/>
        <v>2519</v>
      </c>
      <c r="M46" s="110">
        <v>3</v>
      </c>
      <c r="N46" s="110">
        <v>5</v>
      </c>
      <c r="O46" s="110">
        <v>-19</v>
      </c>
      <c r="P46" s="110">
        <v>0</v>
      </c>
      <c r="S46" s="114">
        <v>1</v>
      </c>
    </row>
    <row r="47" spans="1:19" s="104" customFormat="1" ht="15.75">
      <c r="A47" s="19" t="s">
        <v>303</v>
      </c>
      <c r="B47" s="137" t="s">
        <v>21</v>
      </c>
      <c r="C47" s="42">
        <v>410</v>
      </c>
      <c r="D47" s="42">
        <v>401</v>
      </c>
      <c r="E47" s="42">
        <v>407</v>
      </c>
      <c r="F47" s="42">
        <v>414</v>
      </c>
      <c r="G47" s="345">
        <v>446</v>
      </c>
      <c r="H47" s="42"/>
      <c r="I47" s="42">
        <v>395</v>
      </c>
      <c r="J47" s="42"/>
      <c r="K47" s="42"/>
      <c r="L47" s="102">
        <f t="shared" si="4"/>
        <v>2473</v>
      </c>
      <c r="M47" s="100">
        <v>1</v>
      </c>
      <c r="N47" s="100">
        <v>7</v>
      </c>
      <c r="O47" s="100">
        <v>-30</v>
      </c>
      <c r="P47" s="100">
        <v>0</v>
      </c>
      <c r="S47" s="104">
        <v>1</v>
      </c>
    </row>
    <row r="48" spans="1:19" s="114" customFormat="1" ht="16.5" thickBot="1">
      <c r="A48" s="26" t="s">
        <v>304</v>
      </c>
      <c r="B48" s="57" t="s">
        <v>26</v>
      </c>
      <c r="C48" s="45">
        <v>398</v>
      </c>
      <c r="D48" s="45"/>
      <c r="E48" s="45">
        <v>406</v>
      </c>
      <c r="F48" s="45">
        <v>387</v>
      </c>
      <c r="G48" s="363">
        <v>465</v>
      </c>
      <c r="H48" s="45">
        <v>384</v>
      </c>
      <c r="I48" s="45">
        <v>412</v>
      </c>
      <c r="J48" s="45"/>
      <c r="K48" s="37"/>
      <c r="L48" s="112">
        <f t="shared" si="4"/>
        <v>2452</v>
      </c>
      <c r="M48" s="116">
        <v>1</v>
      </c>
      <c r="N48" s="116">
        <v>7</v>
      </c>
      <c r="O48" s="116">
        <v>-163</v>
      </c>
      <c r="P48" s="116">
        <v>0</v>
      </c>
      <c r="Q48" s="126"/>
      <c r="R48" s="126"/>
      <c r="S48" s="126">
        <v>1</v>
      </c>
    </row>
    <row r="49" spans="3:19" ht="16.5" thickTop="1">
      <c r="C49" s="7">
        <f aca="true" t="shared" si="5" ref="C49:I49">SUM(C32:C48)</f>
        <v>6161</v>
      </c>
      <c r="D49" s="7">
        <f t="shared" si="5"/>
        <v>6241</v>
      </c>
      <c r="E49" s="7">
        <f t="shared" si="5"/>
        <v>4982</v>
      </c>
      <c r="F49" s="7">
        <f t="shared" si="5"/>
        <v>3343</v>
      </c>
      <c r="G49" s="7">
        <f>SUM(G34:G48)</f>
        <v>6688</v>
      </c>
      <c r="H49" s="7">
        <f t="shared" si="5"/>
        <v>4842</v>
      </c>
      <c r="I49" s="7">
        <f t="shared" si="5"/>
        <v>6649</v>
      </c>
      <c r="J49" s="7">
        <f>SUM(J34:J48)</f>
        <v>721</v>
      </c>
      <c r="K49" s="7">
        <f>SUM(K32:K48)</f>
        <v>0</v>
      </c>
      <c r="M49" s="1">
        <f>SUM(M32:M48)</f>
        <v>51</v>
      </c>
      <c r="N49" s="1">
        <f>SUM(N32:N48)</f>
        <v>77</v>
      </c>
      <c r="O49" s="1">
        <f>SUM(O32:O48)</f>
        <v>-401</v>
      </c>
      <c r="P49" s="1">
        <f>SUM(P32:P48)</f>
        <v>10</v>
      </c>
      <c r="Q49" s="1">
        <f>SUM(Q32:Q48)+Q23</f>
        <v>15</v>
      </c>
      <c r="R49" s="1">
        <f>SUM(R32:R48)+R23</f>
        <v>0</v>
      </c>
      <c r="S49" s="1">
        <f>SUM(S32:S48)+S23</f>
        <v>17</v>
      </c>
    </row>
    <row r="50" spans="2:11" ht="31.5">
      <c r="B50" s="67" t="s">
        <v>250</v>
      </c>
      <c r="C50" s="1">
        <f>COUNT(C32:C48)</f>
        <v>15</v>
      </c>
      <c r="D50" s="1">
        <f aca="true" t="shared" si="6" ref="D50:I50">COUNT(D32:D48)</f>
        <v>15</v>
      </c>
      <c r="E50" s="1">
        <f t="shared" si="6"/>
        <v>12</v>
      </c>
      <c r="F50" s="1">
        <f t="shared" si="6"/>
        <v>8</v>
      </c>
      <c r="G50" s="1">
        <f>COUNT(G34:G48)</f>
        <v>15</v>
      </c>
      <c r="H50" s="1">
        <f t="shared" si="6"/>
        <v>12</v>
      </c>
      <c r="I50" s="1">
        <f t="shared" si="6"/>
        <v>16</v>
      </c>
      <c r="J50" s="1">
        <f>COUNT(J34:J48)</f>
        <v>2</v>
      </c>
      <c r="K50" s="1">
        <f>COUNT(K32:K48)</f>
        <v>0</v>
      </c>
    </row>
    <row r="51" spans="2:19" ht="31.5">
      <c r="B51" s="11" t="s">
        <v>249</v>
      </c>
      <c r="C51" s="16">
        <f aca="true" t="shared" si="7" ref="C51:I51">C49/C50</f>
        <v>410.73333333333335</v>
      </c>
      <c r="D51" s="16">
        <f t="shared" si="7"/>
        <v>416.06666666666666</v>
      </c>
      <c r="E51" s="16">
        <f t="shared" si="7"/>
        <v>415.1666666666667</v>
      </c>
      <c r="F51" s="16">
        <f t="shared" si="7"/>
        <v>417.875</v>
      </c>
      <c r="G51" s="16">
        <f t="shared" si="7"/>
        <v>445.8666666666667</v>
      </c>
      <c r="H51" s="16">
        <f t="shared" si="7"/>
        <v>403.5</v>
      </c>
      <c r="I51" s="16">
        <f t="shared" si="7"/>
        <v>415.5625</v>
      </c>
      <c r="J51" s="16">
        <f>J49/J50</f>
        <v>360.5</v>
      </c>
      <c r="K51" s="16"/>
      <c r="L51" s="3" t="s">
        <v>30</v>
      </c>
      <c r="M51" s="371" t="s">
        <v>115</v>
      </c>
      <c r="N51" s="371"/>
      <c r="O51" s="3" t="s">
        <v>31</v>
      </c>
      <c r="P51" s="10" t="s">
        <v>116</v>
      </c>
      <c r="R51" s="74" t="s">
        <v>126</v>
      </c>
      <c r="S51" s="74" t="s">
        <v>223</v>
      </c>
    </row>
    <row r="52" spans="12:19" ht="15.75">
      <c r="L52" s="6">
        <f>SUM(L32:L48)+L26</f>
        <v>80575</v>
      </c>
      <c r="M52" s="6">
        <f>SUM(M32:M48)+M26</f>
        <v>124</v>
      </c>
      <c r="N52" s="6">
        <f>SUM(N32:N48)+N26</f>
        <v>132</v>
      </c>
      <c r="O52" s="6">
        <f>SUM(O32:O48)+O26</f>
        <v>-63</v>
      </c>
      <c r="P52" s="6">
        <f>SUM(P32:P48)+P26</f>
        <v>30</v>
      </c>
      <c r="R52" s="2">
        <f>M52-N52</f>
        <v>-8</v>
      </c>
      <c r="S52" s="2">
        <f>SUM(Q49:S49)</f>
        <v>32</v>
      </c>
    </row>
    <row r="54" spans="12:13" ht="15.75">
      <c r="L54" s="1" t="s">
        <v>128</v>
      </c>
      <c r="M54" s="18">
        <f>L52/S52</f>
        <v>2517.96875</v>
      </c>
    </row>
  </sheetData>
  <sheetProtection/>
  <mergeCells count="10">
    <mergeCell ref="H1:I1"/>
    <mergeCell ref="M51:N51"/>
    <mergeCell ref="C4:K4"/>
    <mergeCell ref="M4:N4"/>
    <mergeCell ref="C28:D28"/>
    <mergeCell ref="M25:N25"/>
    <mergeCell ref="K2:L2"/>
    <mergeCell ref="F28:G28"/>
    <mergeCell ref="I28:J28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U54"/>
  <sheetViews>
    <sheetView zoomScale="90" zoomScaleNormal="90" zoomScalePageLayoutView="0" workbookViewId="0" topLeftCell="C25">
      <selection activeCell="J48" sqref="J48:K48"/>
    </sheetView>
  </sheetViews>
  <sheetFormatPr defaultColWidth="9.00390625" defaultRowHeight="12.75"/>
  <cols>
    <col min="1" max="1" width="11.25390625" style="1" bestFit="1" customWidth="1"/>
    <col min="2" max="2" width="21.00390625" style="1" bestFit="1" customWidth="1"/>
    <col min="3" max="3" width="11.125" style="1" customWidth="1"/>
    <col min="4" max="4" width="10.00390625" style="1" customWidth="1"/>
    <col min="5" max="9" width="9.125" style="1" customWidth="1"/>
    <col min="10" max="10" width="11.375" style="1" customWidth="1"/>
    <col min="11" max="11" width="11.25390625" style="1" customWidth="1"/>
    <col min="12" max="12" width="8.625" style="1" customWidth="1"/>
    <col min="13" max="13" width="9.125" style="1" customWidth="1"/>
    <col min="14" max="14" width="17.75390625" style="1" bestFit="1" customWidth="1"/>
    <col min="15" max="15" width="11.25390625" style="1" customWidth="1"/>
    <col min="16" max="16" width="10.375" style="1" customWidth="1"/>
    <col min="17" max="17" width="13.375" style="1" customWidth="1"/>
    <col min="18" max="18" width="11.875" style="1" customWidth="1"/>
    <col min="20" max="20" width="13.25390625" style="0" customWidth="1"/>
    <col min="21" max="21" width="11.125" style="0" customWidth="1"/>
  </cols>
  <sheetData>
    <row r="1" spans="1:15" ht="15.75">
      <c r="A1" s="58" t="s">
        <v>141</v>
      </c>
      <c r="B1" s="59"/>
      <c r="C1" s="59" t="s">
        <v>144</v>
      </c>
      <c r="D1" s="59" t="s">
        <v>142</v>
      </c>
      <c r="E1" s="372" t="s">
        <v>143</v>
      </c>
      <c r="F1" s="372"/>
      <c r="H1" s="368" t="s">
        <v>151</v>
      </c>
      <c r="I1" s="368"/>
      <c r="J1" s="11" t="s">
        <v>152</v>
      </c>
      <c r="K1" s="378" t="s">
        <v>126</v>
      </c>
      <c r="L1" s="378"/>
      <c r="N1" s="1" t="s">
        <v>128</v>
      </c>
      <c r="O1" s="18">
        <f>N26/U26</f>
        <v>2525.875</v>
      </c>
    </row>
    <row r="2" spans="8:15" ht="15.75">
      <c r="H2" s="1">
        <f>O26+O49</f>
        <v>125</v>
      </c>
      <c r="I2" s="1">
        <f>P26+P49</f>
        <v>131</v>
      </c>
      <c r="J2" s="1">
        <f>R26+R49</f>
        <v>31</v>
      </c>
      <c r="K2" s="374">
        <f>H2-I2</f>
        <v>-6</v>
      </c>
      <c r="L2" s="374"/>
      <c r="N2" s="1" t="s">
        <v>234</v>
      </c>
      <c r="O2" s="6">
        <f>N8+N10+N12+N14+N16+N18+N20+N22</f>
        <v>20089</v>
      </c>
    </row>
    <row r="4" spans="3:21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O4" s="371" t="s">
        <v>28</v>
      </c>
      <c r="P4" s="371"/>
      <c r="S4" s="2"/>
      <c r="T4" s="2"/>
      <c r="U4" s="2"/>
    </row>
    <row r="5" spans="2:21" ht="32.25" thickBot="1">
      <c r="B5" s="3" t="s">
        <v>25</v>
      </c>
      <c r="C5" s="8"/>
      <c r="D5" s="8" t="s">
        <v>81</v>
      </c>
      <c r="E5" s="8" t="s">
        <v>82</v>
      </c>
      <c r="F5" s="8" t="s">
        <v>83</v>
      </c>
      <c r="G5" s="8" t="s">
        <v>84</v>
      </c>
      <c r="H5" s="8" t="s">
        <v>85</v>
      </c>
      <c r="I5" s="12" t="s">
        <v>136</v>
      </c>
      <c r="J5" s="8" t="s">
        <v>137</v>
      </c>
      <c r="K5" s="8" t="s">
        <v>111</v>
      </c>
      <c r="L5" s="8" t="s">
        <v>222</v>
      </c>
      <c r="M5" s="73"/>
      <c r="N5" s="3" t="s">
        <v>30</v>
      </c>
      <c r="O5" s="3" t="s">
        <v>19</v>
      </c>
      <c r="P5" s="3" t="s">
        <v>29</v>
      </c>
      <c r="Q5" s="3" t="s">
        <v>31</v>
      </c>
      <c r="R5" s="10" t="s">
        <v>114</v>
      </c>
      <c r="S5" s="2" t="s">
        <v>184</v>
      </c>
      <c r="T5" s="2" t="s">
        <v>185</v>
      </c>
      <c r="U5" s="2" t="s">
        <v>186</v>
      </c>
    </row>
    <row r="6" spans="1:21" s="104" customFormat="1" ht="15.75">
      <c r="A6" s="19" t="s">
        <v>0</v>
      </c>
      <c r="B6" s="137" t="s">
        <v>196</v>
      </c>
      <c r="C6" s="137"/>
      <c r="D6" s="244">
        <v>440</v>
      </c>
      <c r="E6" s="42">
        <v>409</v>
      </c>
      <c r="F6" s="42"/>
      <c r="G6" s="244">
        <v>417</v>
      </c>
      <c r="H6" s="42">
        <v>401</v>
      </c>
      <c r="I6" s="42"/>
      <c r="J6" s="244">
        <v>464</v>
      </c>
      <c r="K6" s="244">
        <v>434</v>
      </c>
      <c r="L6" s="44"/>
      <c r="M6" s="35"/>
      <c r="N6" s="154">
        <f>SUM(C6:L6)</f>
        <v>2565</v>
      </c>
      <c r="O6" s="100">
        <v>6</v>
      </c>
      <c r="P6" s="100">
        <v>2</v>
      </c>
      <c r="Q6" s="154">
        <v>146</v>
      </c>
      <c r="R6" s="100">
        <v>2</v>
      </c>
      <c r="S6" s="103">
        <v>1</v>
      </c>
      <c r="T6" s="103"/>
      <c r="U6" s="103"/>
    </row>
    <row r="7" spans="1:21" s="114" customFormat="1" ht="15.75">
      <c r="A7" s="26" t="s">
        <v>1</v>
      </c>
      <c r="B7" s="57" t="s">
        <v>255</v>
      </c>
      <c r="C7" s="201"/>
      <c r="D7" s="155"/>
      <c r="E7" s="155"/>
      <c r="F7" s="155"/>
      <c r="G7" s="155"/>
      <c r="H7" s="155"/>
      <c r="I7" s="155"/>
      <c r="J7" s="155"/>
      <c r="K7" s="155"/>
      <c r="L7" s="155"/>
      <c r="M7" s="156"/>
      <c r="N7" s="109" t="s">
        <v>255</v>
      </c>
      <c r="O7" s="191"/>
      <c r="P7" s="191"/>
      <c r="Q7" s="191"/>
      <c r="R7" s="191"/>
      <c r="S7" s="193"/>
      <c r="T7" s="193"/>
      <c r="U7" s="193"/>
    </row>
    <row r="8" spans="1:21" s="114" customFormat="1" ht="15.75">
      <c r="A8" s="26" t="s">
        <v>2</v>
      </c>
      <c r="B8" s="57" t="s">
        <v>264</v>
      </c>
      <c r="C8" s="57"/>
      <c r="D8" s="43">
        <v>405</v>
      </c>
      <c r="E8" s="43">
        <v>420</v>
      </c>
      <c r="F8" s="43">
        <v>400</v>
      </c>
      <c r="G8" s="243">
        <v>460</v>
      </c>
      <c r="H8" s="43"/>
      <c r="I8" s="43"/>
      <c r="J8" s="43">
        <v>424</v>
      </c>
      <c r="K8" s="243">
        <v>438</v>
      </c>
      <c r="L8" s="43"/>
      <c r="M8" s="39"/>
      <c r="N8" s="109">
        <f aca="true" t="shared" si="0" ref="N8:N22">SUM(C8:M8)</f>
        <v>2547</v>
      </c>
      <c r="O8" s="110">
        <v>2</v>
      </c>
      <c r="P8" s="110">
        <v>6</v>
      </c>
      <c r="Q8" s="109">
        <f>N8-2611</f>
        <v>-64</v>
      </c>
      <c r="R8" s="110">
        <v>0</v>
      </c>
      <c r="S8" s="113"/>
      <c r="T8" s="113"/>
      <c r="U8" s="113">
        <v>1</v>
      </c>
    </row>
    <row r="9" spans="1:21" s="23" customFormat="1" ht="15.75">
      <c r="A9" s="145" t="s">
        <v>3</v>
      </c>
      <c r="B9" s="153" t="s">
        <v>17</v>
      </c>
      <c r="C9" s="153"/>
      <c r="D9" s="257">
        <v>446</v>
      </c>
      <c r="E9" s="146">
        <v>394</v>
      </c>
      <c r="F9" s="146"/>
      <c r="G9" s="146"/>
      <c r="H9" s="257">
        <v>416</v>
      </c>
      <c r="I9" s="146"/>
      <c r="J9" s="146">
        <v>401</v>
      </c>
      <c r="K9" s="146">
        <v>399</v>
      </c>
      <c r="L9" s="257">
        <v>429</v>
      </c>
      <c r="M9" s="165"/>
      <c r="N9" s="21">
        <f t="shared" si="0"/>
        <v>2485</v>
      </c>
      <c r="O9" s="19">
        <v>3</v>
      </c>
      <c r="P9" s="19">
        <v>5</v>
      </c>
      <c r="Q9" s="21">
        <v>-65</v>
      </c>
      <c r="R9" s="19">
        <v>0</v>
      </c>
      <c r="S9" s="22"/>
      <c r="T9" s="22"/>
      <c r="U9" s="22">
        <v>1</v>
      </c>
    </row>
    <row r="10" spans="1:21" s="114" customFormat="1" ht="15.75">
      <c r="A10" s="26" t="s">
        <v>4</v>
      </c>
      <c r="B10" s="57" t="s">
        <v>15</v>
      </c>
      <c r="C10" s="57"/>
      <c r="D10" s="243">
        <v>429</v>
      </c>
      <c r="E10" s="243">
        <v>433</v>
      </c>
      <c r="F10" s="43">
        <v>412</v>
      </c>
      <c r="G10" s="243">
        <v>446</v>
      </c>
      <c r="H10" s="43">
        <v>415</v>
      </c>
      <c r="I10" s="43"/>
      <c r="J10" s="43">
        <v>403</v>
      </c>
      <c r="K10" s="43"/>
      <c r="L10" s="43"/>
      <c r="M10" s="39"/>
      <c r="N10" s="109">
        <f t="shared" si="0"/>
        <v>2538</v>
      </c>
      <c r="O10" s="110">
        <v>5</v>
      </c>
      <c r="P10" s="110">
        <v>3</v>
      </c>
      <c r="Q10" s="109">
        <v>47</v>
      </c>
      <c r="R10" s="110">
        <v>2</v>
      </c>
      <c r="S10" s="113">
        <v>1</v>
      </c>
      <c r="T10" s="113"/>
      <c r="U10" s="113"/>
    </row>
    <row r="11" spans="1:21" s="148" customFormat="1" ht="15.75">
      <c r="A11" s="100" t="s">
        <v>5</v>
      </c>
      <c r="B11" s="121" t="s">
        <v>263</v>
      </c>
      <c r="C11" s="121"/>
      <c r="D11" s="120">
        <v>409</v>
      </c>
      <c r="E11" s="258">
        <v>453</v>
      </c>
      <c r="F11" s="120"/>
      <c r="G11" s="258">
        <v>431</v>
      </c>
      <c r="H11" s="120">
        <v>397</v>
      </c>
      <c r="I11" s="120"/>
      <c r="J11" s="258">
        <v>440</v>
      </c>
      <c r="K11" s="258">
        <v>443</v>
      </c>
      <c r="L11" s="120"/>
      <c r="M11" s="157"/>
      <c r="N11" s="175">
        <f t="shared" si="0"/>
        <v>2573</v>
      </c>
      <c r="O11" s="145">
        <v>6</v>
      </c>
      <c r="P11" s="145">
        <v>2</v>
      </c>
      <c r="Q11" s="175">
        <v>79</v>
      </c>
      <c r="R11" s="145">
        <v>2</v>
      </c>
      <c r="S11" s="176">
        <v>1</v>
      </c>
      <c r="T11" s="176"/>
      <c r="U11" s="176"/>
    </row>
    <row r="12" spans="1:21" s="114" customFormat="1" ht="15.75">
      <c r="A12" s="26" t="s">
        <v>6</v>
      </c>
      <c r="B12" s="57" t="s">
        <v>23</v>
      </c>
      <c r="C12" s="57"/>
      <c r="D12" s="43">
        <v>370</v>
      </c>
      <c r="E12" s="43">
        <v>380</v>
      </c>
      <c r="F12" s="43">
        <v>416</v>
      </c>
      <c r="G12" s="43"/>
      <c r="H12" s="43"/>
      <c r="I12" s="43"/>
      <c r="J12" s="43">
        <v>414</v>
      </c>
      <c r="K12" s="243">
        <v>426</v>
      </c>
      <c r="L12" s="243">
        <v>426</v>
      </c>
      <c r="M12" s="39"/>
      <c r="N12" s="109">
        <f t="shared" si="0"/>
        <v>2432</v>
      </c>
      <c r="O12" s="110">
        <v>2</v>
      </c>
      <c r="P12" s="110">
        <v>6</v>
      </c>
      <c r="Q12" s="110">
        <v>-173</v>
      </c>
      <c r="R12" s="110">
        <v>0</v>
      </c>
      <c r="S12" s="113"/>
      <c r="T12" s="113"/>
      <c r="U12" s="113">
        <v>1</v>
      </c>
    </row>
    <row r="13" spans="1:21" s="104" customFormat="1" ht="15.75">
      <c r="A13" s="19" t="s">
        <v>7</v>
      </c>
      <c r="B13" s="137" t="s">
        <v>260</v>
      </c>
      <c r="C13" s="137"/>
      <c r="D13" s="42">
        <v>429</v>
      </c>
      <c r="E13" s="244">
        <v>448</v>
      </c>
      <c r="F13" s="42">
        <v>417</v>
      </c>
      <c r="G13" s="42"/>
      <c r="H13" s="42"/>
      <c r="I13" s="42"/>
      <c r="J13" s="42">
        <v>429</v>
      </c>
      <c r="K13" s="42">
        <v>423</v>
      </c>
      <c r="L13" s="244">
        <v>434</v>
      </c>
      <c r="M13" s="35"/>
      <c r="N13" s="154">
        <f t="shared" si="0"/>
        <v>2580</v>
      </c>
      <c r="O13" s="100">
        <v>2</v>
      </c>
      <c r="P13" s="100">
        <v>6</v>
      </c>
      <c r="Q13" s="154">
        <v>-10</v>
      </c>
      <c r="R13" s="100">
        <v>0</v>
      </c>
      <c r="S13" s="103"/>
      <c r="T13" s="103"/>
      <c r="U13" s="103">
        <v>1</v>
      </c>
    </row>
    <row r="14" spans="1:21" s="114" customFormat="1" ht="15.75">
      <c r="A14" s="26" t="s">
        <v>8</v>
      </c>
      <c r="B14" s="57" t="s">
        <v>209</v>
      </c>
      <c r="C14" s="57"/>
      <c r="D14" s="243">
        <v>426</v>
      </c>
      <c r="E14" s="243">
        <v>415</v>
      </c>
      <c r="F14" s="243">
        <v>400</v>
      </c>
      <c r="G14" s="43"/>
      <c r="H14" s="43">
        <v>377</v>
      </c>
      <c r="I14" s="43"/>
      <c r="J14" s="43">
        <v>396</v>
      </c>
      <c r="K14" s="243">
        <v>413</v>
      </c>
      <c r="L14" s="43"/>
      <c r="M14" s="39"/>
      <c r="N14" s="109">
        <f t="shared" si="0"/>
        <v>2427</v>
      </c>
      <c r="O14" s="110">
        <v>6</v>
      </c>
      <c r="P14" s="110">
        <v>2</v>
      </c>
      <c r="Q14" s="110">
        <v>93</v>
      </c>
      <c r="R14" s="110">
        <v>2</v>
      </c>
      <c r="S14" s="113">
        <v>1</v>
      </c>
      <c r="T14" s="113"/>
      <c r="U14" s="113"/>
    </row>
    <row r="15" spans="1:21" s="23" customFormat="1" ht="15.75">
      <c r="A15" s="145" t="s">
        <v>9</v>
      </c>
      <c r="B15" s="153" t="s">
        <v>16</v>
      </c>
      <c r="C15" s="153"/>
      <c r="D15" s="146">
        <v>409</v>
      </c>
      <c r="E15" s="257">
        <v>468</v>
      </c>
      <c r="F15" s="146">
        <v>417</v>
      </c>
      <c r="G15" s="146"/>
      <c r="H15" s="146">
        <v>377</v>
      </c>
      <c r="I15" s="146"/>
      <c r="J15" s="257">
        <v>438</v>
      </c>
      <c r="K15" s="146">
        <v>420</v>
      </c>
      <c r="L15" s="146"/>
      <c r="M15" s="165"/>
      <c r="N15" s="21">
        <f t="shared" si="0"/>
        <v>2529</v>
      </c>
      <c r="O15" s="19">
        <v>2</v>
      </c>
      <c r="P15" s="19">
        <v>6</v>
      </c>
      <c r="Q15" s="21">
        <v>-50</v>
      </c>
      <c r="R15" s="19">
        <v>0</v>
      </c>
      <c r="S15" s="22"/>
      <c r="T15" s="22"/>
      <c r="U15" s="22">
        <v>1</v>
      </c>
    </row>
    <row r="16" spans="1:21" s="114" customFormat="1" ht="15.75">
      <c r="A16" s="26" t="s">
        <v>10</v>
      </c>
      <c r="B16" s="57" t="s">
        <v>205</v>
      </c>
      <c r="C16" s="57"/>
      <c r="D16" s="243">
        <v>431</v>
      </c>
      <c r="E16" s="243">
        <v>474</v>
      </c>
      <c r="F16" s="43">
        <v>403</v>
      </c>
      <c r="G16" s="43"/>
      <c r="H16" s="43"/>
      <c r="I16" s="43"/>
      <c r="J16" s="43">
        <v>431</v>
      </c>
      <c r="K16" s="43">
        <v>415</v>
      </c>
      <c r="L16" s="243">
        <v>477</v>
      </c>
      <c r="M16" s="39"/>
      <c r="N16" s="109">
        <f t="shared" si="0"/>
        <v>2631</v>
      </c>
      <c r="O16" s="109">
        <v>5</v>
      </c>
      <c r="P16" s="110">
        <v>3</v>
      </c>
      <c r="Q16" s="110">
        <v>32</v>
      </c>
      <c r="R16" s="110">
        <v>2</v>
      </c>
      <c r="S16" s="113">
        <v>1</v>
      </c>
      <c r="T16" s="113"/>
      <c r="U16" s="113"/>
    </row>
    <row r="17" spans="1:21" s="148" customFormat="1" ht="15.75">
      <c r="A17" s="100" t="s">
        <v>11</v>
      </c>
      <c r="B17" s="121" t="s">
        <v>21</v>
      </c>
      <c r="C17" s="121"/>
      <c r="D17" s="258">
        <v>436</v>
      </c>
      <c r="E17" s="258">
        <v>436</v>
      </c>
      <c r="F17" s="258">
        <v>451</v>
      </c>
      <c r="G17" s="120"/>
      <c r="H17" s="120"/>
      <c r="I17" s="120"/>
      <c r="J17" s="258">
        <v>435</v>
      </c>
      <c r="K17" s="258">
        <v>432</v>
      </c>
      <c r="L17" s="120">
        <v>416</v>
      </c>
      <c r="M17" s="157"/>
      <c r="N17" s="175">
        <f t="shared" si="0"/>
        <v>2606</v>
      </c>
      <c r="O17" s="145">
        <v>7</v>
      </c>
      <c r="P17" s="145">
        <v>1</v>
      </c>
      <c r="Q17" s="145">
        <v>150</v>
      </c>
      <c r="R17" s="145">
        <v>2</v>
      </c>
      <c r="S17" s="176">
        <v>1</v>
      </c>
      <c r="T17" s="176"/>
      <c r="U17" s="176"/>
    </row>
    <row r="18" spans="1:21" s="114" customFormat="1" ht="15.75">
      <c r="A18" s="26" t="s">
        <v>12</v>
      </c>
      <c r="B18" s="57" t="s">
        <v>26</v>
      </c>
      <c r="C18" s="57"/>
      <c r="D18" s="243">
        <v>435</v>
      </c>
      <c r="E18" s="43">
        <v>424</v>
      </c>
      <c r="F18" s="47">
        <v>412</v>
      </c>
      <c r="G18" s="47"/>
      <c r="H18" s="47">
        <v>372</v>
      </c>
      <c r="I18" s="47"/>
      <c r="J18" s="251">
        <v>454</v>
      </c>
      <c r="K18" s="47">
        <v>410</v>
      </c>
      <c r="L18" s="47"/>
      <c r="M18" s="39"/>
      <c r="N18" s="109">
        <f t="shared" si="0"/>
        <v>2507</v>
      </c>
      <c r="O18" s="110">
        <v>2</v>
      </c>
      <c r="P18" s="110">
        <v>6</v>
      </c>
      <c r="Q18" s="110">
        <v>-130</v>
      </c>
      <c r="R18" s="110">
        <v>0</v>
      </c>
      <c r="S18" s="113"/>
      <c r="T18" s="113"/>
      <c r="U18" s="113">
        <v>1</v>
      </c>
    </row>
    <row r="19" spans="1:21" s="104" customFormat="1" ht="15.75">
      <c r="A19" s="19" t="s">
        <v>13</v>
      </c>
      <c r="B19" s="137" t="s">
        <v>208</v>
      </c>
      <c r="C19" s="137"/>
      <c r="D19" s="244">
        <v>438</v>
      </c>
      <c r="E19" s="244">
        <v>426</v>
      </c>
      <c r="F19" s="44">
        <v>408</v>
      </c>
      <c r="G19" s="44"/>
      <c r="H19" s="44"/>
      <c r="I19" s="44"/>
      <c r="J19" s="44">
        <v>419</v>
      </c>
      <c r="K19" s="249">
        <v>431</v>
      </c>
      <c r="L19" s="44">
        <v>419</v>
      </c>
      <c r="M19" s="35"/>
      <c r="N19" s="154">
        <f t="shared" si="0"/>
        <v>2541</v>
      </c>
      <c r="O19" s="100">
        <v>5</v>
      </c>
      <c r="P19" s="100">
        <v>3</v>
      </c>
      <c r="Q19" s="100">
        <v>18</v>
      </c>
      <c r="R19" s="100">
        <v>2</v>
      </c>
      <c r="S19" s="103">
        <v>1</v>
      </c>
      <c r="T19" s="103"/>
      <c r="U19" s="103"/>
    </row>
    <row r="20" spans="1:21" s="114" customFormat="1" ht="15.75">
      <c r="A20" s="26" t="s">
        <v>14</v>
      </c>
      <c r="B20" s="57" t="s">
        <v>206</v>
      </c>
      <c r="C20" s="57"/>
      <c r="D20" s="243">
        <v>421</v>
      </c>
      <c r="E20" s="243">
        <v>448</v>
      </c>
      <c r="F20" s="47"/>
      <c r="G20" s="47">
        <v>401</v>
      </c>
      <c r="H20" s="47"/>
      <c r="I20" s="47"/>
      <c r="J20" s="251">
        <v>449</v>
      </c>
      <c r="K20" s="251">
        <v>417</v>
      </c>
      <c r="L20" s="47">
        <v>377</v>
      </c>
      <c r="M20" s="39"/>
      <c r="N20" s="109">
        <f t="shared" si="0"/>
        <v>2513</v>
      </c>
      <c r="O20" s="110">
        <v>6</v>
      </c>
      <c r="P20" s="110">
        <v>2</v>
      </c>
      <c r="Q20" s="109">
        <f>N20-2467</f>
        <v>46</v>
      </c>
      <c r="R20" s="110">
        <v>2</v>
      </c>
      <c r="S20" s="113">
        <v>1</v>
      </c>
      <c r="T20" s="113"/>
      <c r="U20" s="113"/>
    </row>
    <row r="21" spans="1:21" s="23" customFormat="1" ht="15.75">
      <c r="A21" s="145" t="s">
        <v>261</v>
      </c>
      <c r="B21" s="153" t="s">
        <v>20</v>
      </c>
      <c r="C21" s="153"/>
      <c r="D21" s="146">
        <v>386</v>
      </c>
      <c r="E21" s="257">
        <v>430</v>
      </c>
      <c r="F21" s="262">
        <v>435</v>
      </c>
      <c r="G21" s="160">
        <v>406</v>
      </c>
      <c r="H21" s="160"/>
      <c r="I21" s="160"/>
      <c r="J21" s="160">
        <v>402</v>
      </c>
      <c r="K21" s="160">
        <v>387</v>
      </c>
      <c r="L21" s="160"/>
      <c r="M21" s="165"/>
      <c r="N21" s="21">
        <f t="shared" si="0"/>
        <v>2446</v>
      </c>
      <c r="O21" s="19">
        <v>2</v>
      </c>
      <c r="P21" s="19">
        <v>6</v>
      </c>
      <c r="Q21" s="19">
        <v>-110</v>
      </c>
      <c r="R21" s="19">
        <v>0</v>
      </c>
      <c r="S21" s="22"/>
      <c r="T21" s="22"/>
      <c r="U21" s="22">
        <v>1</v>
      </c>
    </row>
    <row r="22" spans="1:21" s="114" customFormat="1" ht="16.5" thickBot="1">
      <c r="A22" s="26" t="s">
        <v>262</v>
      </c>
      <c r="B22" s="57" t="s">
        <v>22</v>
      </c>
      <c r="C22" s="200"/>
      <c r="D22" s="45">
        <v>404</v>
      </c>
      <c r="E22" s="45">
        <v>406</v>
      </c>
      <c r="F22" s="286">
        <v>424</v>
      </c>
      <c r="G22" s="45">
        <v>405</v>
      </c>
      <c r="H22" s="45"/>
      <c r="I22" s="45"/>
      <c r="J22" s="286">
        <v>427</v>
      </c>
      <c r="K22" s="45"/>
      <c r="L22" s="286">
        <v>428</v>
      </c>
      <c r="M22" s="37"/>
      <c r="N22" s="188">
        <f t="shared" si="0"/>
        <v>2494</v>
      </c>
      <c r="O22" s="116">
        <v>5</v>
      </c>
      <c r="P22" s="116">
        <v>3</v>
      </c>
      <c r="Q22" s="116">
        <v>7</v>
      </c>
      <c r="R22" s="116">
        <v>2</v>
      </c>
      <c r="S22" s="128">
        <v>1</v>
      </c>
      <c r="T22" s="128"/>
      <c r="U22" s="128"/>
    </row>
    <row r="23" spans="3:21" ht="16.5" thickTop="1">
      <c r="C23" s="6"/>
      <c r="D23" s="6">
        <f aca="true" t="shared" si="1" ref="D23:K23">SUM(D6:D22)</f>
        <v>6714</v>
      </c>
      <c r="E23" s="6">
        <f t="shared" si="1"/>
        <v>6864</v>
      </c>
      <c r="F23" s="6">
        <f t="shared" si="1"/>
        <v>4995</v>
      </c>
      <c r="G23" s="6">
        <f t="shared" si="1"/>
        <v>2966</v>
      </c>
      <c r="H23" s="6">
        <f>SUM(H6:H16)+SUM(H18:H22)</f>
        <v>2755</v>
      </c>
      <c r="I23" s="6">
        <f t="shared" si="1"/>
        <v>0</v>
      </c>
      <c r="J23" s="6">
        <f t="shared" si="1"/>
        <v>6826</v>
      </c>
      <c r="K23" s="6">
        <f t="shared" si="1"/>
        <v>5888</v>
      </c>
      <c r="L23" s="6">
        <f>SUM(L6:L17)+SUM(L18:L22)</f>
        <v>3406</v>
      </c>
      <c r="M23" s="6"/>
      <c r="S23" s="2">
        <f>SUM(S6:S22)</f>
        <v>9</v>
      </c>
      <c r="T23" s="2">
        <f>SUM(T6:T22)</f>
        <v>0</v>
      </c>
      <c r="U23" s="2">
        <f>SUM(U6:U22)</f>
        <v>7</v>
      </c>
    </row>
    <row r="24" spans="2:13" ht="15.75">
      <c r="B24" s="1" t="s">
        <v>227</v>
      </c>
      <c r="C24" s="6"/>
      <c r="D24" s="6">
        <f aca="true" t="shared" si="2" ref="D24:K24">COUNT(D6:D22)</f>
        <v>16</v>
      </c>
      <c r="E24" s="6">
        <f t="shared" si="2"/>
        <v>16</v>
      </c>
      <c r="F24" s="6">
        <f t="shared" si="2"/>
        <v>12</v>
      </c>
      <c r="G24" s="6">
        <f t="shared" si="2"/>
        <v>7</v>
      </c>
      <c r="H24" s="6">
        <f>COUNT(H6:H16)+COUNT(H18:H22)</f>
        <v>7</v>
      </c>
      <c r="I24" s="6">
        <f t="shared" si="2"/>
        <v>0</v>
      </c>
      <c r="J24" s="6">
        <f t="shared" si="2"/>
        <v>16</v>
      </c>
      <c r="K24" s="6">
        <f t="shared" si="2"/>
        <v>14</v>
      </c>
      <c r="L24" s="6">
        <f>COUNT(L6:L17)+COUNT(L18:L22)</f>
        <v>8</v>
      </c>
      <c r="M24" s="6"/>
    </row>
    <row r="25" spans="2:21" ht="31.5">
      <c r="B25" s="11" t="s">
        <v>127</v>
      </c>
      <c r="C25" s="16"/>
      <c r="D25" s="16">
        <f aca="true" t="shared" si="3" ref="D25:K25">AVERAGE(D6:D22)</f>
        <v>419.625</v>
      </c>
      <c r="E25" s="16">
        <f t="shared" si="3"/>
        <v>429</v>
      </c>
      <c r="F25" s="16">
        <f t="shared" si="3"/>
        <v>416.25</v>
      </c>
      <c r="G25" s="16">
        <f t="shared" si="3"/>
        <v>423.7142857142857</v>
      </c>
      <c r="H25" s="16">
        <f>H23/H24</f>
        <v>393.57142857142856</v>
      </c>
      <c r="I25" s="16"/>
      <c r="J25" s="16">
        <f t="shared" si="3"/>
        <v>426.625</v>
      </c>
      <c r="K25" s="16">
        <f t="shared" si="3"/>
        <v>420.57142857142856</v>
      </c>
      <c r="L25" s="16">
        <f>L23/L24</f>
        <v>425.75</v>
      </c>
      <c r="M25" s="16"/>
      <c r="N25" s="3" t="s">
        <v>30</v>
      </c>
      <c r="O25" s="371" t="s">
        <v>115</v>
      </c>
      <c r="P25" s="371"/>
      <c r="Q25" s="3" t="s">
        <v>31</v>
      </c>
      <c r="R25" s="10" t="s">
        <v>116</v>
      </c>
      <c r="T25" s="74" t="s">
        <v>126</v>
      </c>
      <c r="U25" s="74" t="s">
        <v>223</v>
      </c>
    </row>
    <row r="26" spans="14:21" ht="15.75">
      <c r="N26" s="6">
        <f>SUM(N6:N22)</f>
        <v>40414</v>
      </c>
      <c r="O26" s="1">
        <f>SUM(O6:O22)</f>
        <v>66</v>
      </c>
      <c r="P26" s="1">
        <f>SUM(P6:P22)</f>
        <v>62</v>
      </c>
      <c r="Q26" s="1">
        <f>SUM(Q6:Q22)</f>
        <v>16</v>
      </c>
      <c r="R26" s="1">
        <f>SUM(R6:R22)</f>
        <v>18</v>
      </c>
      <c r="T26" s="2">
        <f>O26-P26</f>
        <v>4</v>
      </c>
      <c r="U26" s="2">
        <f>SUM(S23:U23)</f>
        <v>16</v>
      </c>
    </row>
    <row r="27" ht="15.75">
      <c r="G27" s="14"/>
    </row>
    <row r="28" spans="3:10" ht="15.75">
      <c r="C28" s="377" t="s">
        <v>39</v>
      </c>
      <c r="D28" s="377"/>
      <c r="F28" s="375" t="s">
        <v>132</v>
      </c>
      <c r="G28" s="375"/>
      <c r="I28" s="376" t="s">
        <v>133</v>
      </c>
      <c r="J28" s="376"/>
    </row>
    <row r="29" spans="1:21" ht="16.5" thickBot="1">
      <c r="A29" s="73"/>
      <c r="B29" s="73"/>
      <c r="C29" s="227"/>
      <c r="D29" s="227"/>
      <c r="E29" s="73"/>
      <c r="F29" s="228"/>
      <c r="G29" s="228"/>
      <c r="H29" s="73"/>
      <c r="I29" s="229"/>
      <c r="J29" s="229"/>
      <c r="K29" s="73"/>
      <c r="L29" s="73"/>
      <c r="M29" s="73"/>
      <c r="N29" s="73"/>
      <c r="O29" s="73"/>
      <c r="P29" s="73"/>
      <c r="Q29" s="73"/>
      <c r="R29" s="73"/>
      <c r="S29" s="226"/>
      <c r="T29" s="226"/>
      <c r="U29" s="226"/>
    </row>
    <row r="31" spans="2:21" ht="32.25" thickBot="1">
      <c r="B31" s="3" t="s">
        <v>25</v>
      </c>
      <c r="C31" s="8"/>
      <c r="D31" s="8" t="s">
        <v>81</v>
      </c>
      <c r="E31" s="8" t="s">
        <v>82</v>
      </c>
      <c r="F31" s="8" t="s">
        <v>83</v>
      </c>
      <c r="G31" s="8" t="s">
        <v>84</v>
      </c>
      <c r="H31" s="8" t="s">
        <v>85</v>
      </c>
      <c r="I31" s="12" t="s">
        <v>136</v>
      </c>
      <c r="J31" s="8" t="s">
        <v>137</v>
      </c>
      <c r="K31" s="8" t="s">
        <v>111</v>
      </c>
      <c r="L31" s="8" t="s">
        <v>222</v>
      </c>
      <c r="M31" s="8"/>
      <c r="N31" s="3" t="s">
        <v>30</v>
      </c>
      <c r="O31" s="3" t="s">
        <v>19</v>
      </c>
      <c r="P31" s="3" t="s">
        <v>29</v>
      </c>
      <c r="Q31" s="3" t="s">
        <v>31</v>
      </c>
      <c r="R31" s="10" t="s">
        <v>114</v>
      </c>
      <c r="S31" s="2" t="s">
        <v>184</v>
      </c>
      <c r="T31" s="2" t="s">
        <v>185</v>
      </c>
      <c r="U31" s="2" t="s">
        <v>186</v>
      </c>
    </row>
    <row r="32" spans="1:19" s="148" customFormat="1" ht="15.75">
      <c r="A32" s="19" t="s">
        <v>153</v>
      </c>
      <c r="B32" s="137" t="s">
        <v>209</v>
      </c>
      <c r="C32" s="104"/>
      <c r="D32" s="120">
        <v>399</v>
      </c>
      <c r="E32" s="258">
        <v>423</v>
      </c>
      <c r="F32" s="258">
        <v>461</v>
      </c>
      <c r="G32" s="258">
        <v>452</v>
      </c>
      <c r="H32" s="120"/>
      <c r="I32" s="120"/>
      <c r="J32" s="120">
        <v>415</v>
      </c>
      <c r="K32" s="120"/>
      <c r="L32" s="258">
        <v>420</v>
      </c>
      <c r="M32" s="289"/>
      <c r="N32" s="147">
        <f>SUM(C32:M32)</f>
        <v>2570</v>
      </c>
      <c r="O32" s="145">
        <v>6</v>
      </c>
      <c r="P32" s="145">
        <v>2</v>
      </c>
      <c r="Q32" s="145">
        <v>121</v>
      </c>
      <c r="R32" s="145">
        <v>2</v>
      </c>
      <c r="S32" s="148">
        <v>1</v>
      </c>
    </row>
    <row r="33" spans="1:21" s="114" customFormat="1" ht="15.75">
      <c r="A33" s="110" t="s">
        <v>154</v>
      </c>
      <c r="B33" s="123" t="s">
        <v>16</v>
      </c>
      <c r="C33" s="30"/>
      <c r="D33" s="43"/>
      <c r="E33" s="43">
        <v>398</v>
      </c>
      <c r="F33" s="43"/>
      <c r="G33" s="43">
        <v>409</v>
      </c>
      <c r="H33" s="43">
        <v>359</v>
      </c>
      <c r="I33" s="43"/>
      <c r="J33" s="43">
        <v>417</v>
      </c>
      <c r="K33" s="243">
        <v>417</v>
      </c>
      <c r="L33" s="43">
        <v>416</v>
      </c>
      <c r="M33" s="111"/>
      <c r="N33" s="112">
        <f aca="true" t="shared" si="4" ref="N33:N48">SUM(C33:M33)</f>
        <v>2416</v>
      </c>
      <c r="O33" s="110">
        <v>1</v>
      </c>
      <c r="P33" s="110">
        <v>7</v>
      </c>
      <c r="Q33" s="110">
        <v>-197</v>
      </c>
      <c r="R33" s="110">
        <v>0</v>
      </c>
      <c r="U33" s="114">
        <v>1</v>
      </c>
    </row>
    <row r="34" spans="1:19" s="148" customFormat="1" ht="15.75">
      <c r="A34" s="19" t="s">
        <v>155</v>
      </c>
      <c r="B34" s="137" t="s">
        <v>205</v>
      </c>
      <c r="C34" s="104"/>
      <c r="D34" s="258">
        <v>447</v>
      </c>
      <c r="E34" s="258">
        <v>445</v>
      </c>
      <c r="F34" s="120">
        <v>405</v>
      </c>
      <c r="G34" s="120"/>
      <c r="H34" s="120"/>
      <c r="I34" s="120"/>
      <c r="J34" s="258">
        <v>471</v>
      </c>
      <c r="K34" s="120">
        <v>414</v>
      </c>
      <c r="L34" s="258">
        <v>436</v>
      </c>
      <c r="M34" s="289"/>
      <c r="N34" s="147">
        <f t="shared" si="4"/>
        <v>2618</v>
      </c>
      <c r="O34" s="145">
        <v>6</v>
      </c>
      <c r="P34" s="145">
        <v>2</v>
      </c>
      <c r="Q34" s="145">
        <v>129</v>
      </c>
      <c r="R34" s="145">
        <v>2</v>
      </c>
      <c r="S34" s="148">
        <v>1</v>
      </c>
    </row>
    <row r="35" spans="1:19" s="30" customFormat="1" ht="15.75">
      <c r="A35" s="26" t="s">
        <v>156</v>
      </c>
      <c r="B35" s="57" t="s">
        <v>21</v>
      </c>
      <c r="C35" s="114"/>
      <c r="D35" s="118">
        <v>400</v>
      </c>
      <c r="E35" s="255">
        <v>420</v>
      </c>
      <c r="F35" s="118"/>
      <c r="G35" s="255">
        <v>409</v>
      </c>
      <c r="H35" s="118"/>
      <c r="I35" s="118"/>
      <c r="J35" s="255">
        <v>449</v>
      </c>
      <c r="K35" s="255">
        <v>407</v>
      </c>
      <c r="L35" s="255">
        <v>419</v>
      </c>
      <c r="M35" s="31"/>
      <c r="N35" s="234">
        <f t="shared" si="4"/>
        <v>2504</v>
      </c>
      <c r="O35" s="26">
        <v>7</v>
      </c>
      <c r="P35" s="26">
        <v>1</v>
      </c>
      <c r="Q35" s="26">
        <f>N35-2351</f>
        <v>153</v>
      </c>
      <c r="R35" s="26">
        <v>2</v>
      </c>
      <c r="S35" s="30">
        <v>1</v>
      </c>
    </row>
    <row r="36" spans="1:21" s="148" customFormat="1" ht="15.75">
      <c r="A36" s="19" t="s">
        <v>157</v>
      </c>
      <c r="B36" s="137" t="s">
        <v>26</v>
      </c>
      <c r="C36" s="104"/>
      <c r="D36" s="120">
        <v>426</v>
      </c>
      <c r="E36" s="120">
        <v>417</v>
      </c>
      <c r="F36" s="120">
        <v>408</v>
      </c>
      <c r="G36" s="258">
        <v>442</v>
      </c>
      <c r="H36" s="120"/>
      <c r="I36" s="120"/>
      <c r="J36" s="120">
        <v>436</v>
      </c>
      <c r="K36" s="120"/>
      <c r="L36" s="258">
        <v>447</v>
      </c>
      <c r="M36" s="289"/>
      <c r="N36" s="147">
        <f t="shared" si="4"/>
        <v>2576</v>
      </c>
      <c r="O36" s="145">
        <v>2</v>
      </c>
      <c r="P36" s="145">
        <v>6</v>
      </c>
      <c r="Q36" s="145">
        <v>-64</v>
      </c>
      <c r="R36" s="145">
        <v>0</v>
      </c>
      <c r="U36" s="148">
        <v>1</v>
      </c>
    </row>
    <row r="37" spans="1:21" s="114" customFormat="1" ht="15.75">
      <c r="A37" s="110" t="s">
        <v>158</v>
      </c>
      <c r="B37" s="123" t="s">
        <v>208</v>
      </c>
      <c r="C37" s="30"/>
      <c r="D37" s="43">
        <v>397</v>
      </c>
      <c r="E37" s="43">
        <v>411</v>
      </c>
      <c r="F37" s="43">
        <v>418</v>
      </c>
      <c r="G37" s="243">
        <v>435</v>
      </c>
      <c r="H37" s="43"/>
      <c r="I37" s="43"/>
      <c r="J37" s="243">
        <v>456</v>
      </c>
      <c r="K37" s="43"/>
      <c r="L37" s="43">
        <v>421</v>
      </c>
      <c r="M37" s="111"/>
      <c r="N37" s="112">
        <f t="shared" si="4"/>
        <v>2538</v>
      </c>
      <c r="O37" s="110">
        <v>2</v>
      </c>
      <c r="P37" s="110">
        <v>6</v>
      </c>
      <c r="Q37" s="110">
        <f>N37-2561</f>
        <v>-23</v>
      </c>
      <c r="R37" s="110">
        <v>0</v>
      </c>
      <c r="U37" s="114">
        <v>1</v>
      </c>
    </row>
    <row r="38" spans="1:19" s="148" customFormat="1" ht="15.75">
      <c r="A38" s="19" t="s">
        <v>159</v>
      </c>
      <c r="B38" s="137" t="s">
        <v>206</v>
      </c>
      <c r="C38" s="104"/>
      <c r="D38" s="120">
        <v>406</v>
      </c>
      <c r="E38" s="258">
        <v>457</v>
      </c>
      <c r="F38" s="258">
        <v>440</v>
      </c>
      <c r="G38" s="120">
        <v>426</v>
      </c>
      <c r="H38" s="120"/>
      <c r="I38" s="120"/>
      <c r="J38" s="258">
        <v>440</v>
      </c>
      <c r="K38" s="120"/>
      <c r="L38" s="120">
        <v>409</v>
      </c>
      <c r="M38" s="289"/>
      <c r="N38" s="147">
        <f t="shared" si="4"/>
        <v>2578</v>
      </c>
      <c r="O38" s="145">
        <v>5</v>
      </c>
      <c r="P38" s="145">
        <v>3</v>
      </c>
      <c r="Q38" s="145">
        <f>N38-2487</f>
        <v>91</v>
      </c>
      <c r="R38" s="145">
        <v>2</v>
      </c>
      <c r="S38" s="148">
        <v>1</v>
      </c>
    </row>
    <row r="39" spans="1:21" s="30" customFormat="1" ht="15.75">
      <c r="A39" s="26" t="s">
        <v>160</v>
      </c>
      <c r="B39" s="57" t="s">
        <v>20</v>
      </c>
      <c r="C39" s="114"/>
      <c r="D39" s="118">
        <v>370</v>
      </c>
      <c r="E39" s="118">
        <v>408</v>
      </c>
      <c r="F39" s="255">
        <v>435</v>
      </c>
      <c r="G39" s="255">
        <v>429</v>
      </c>
      <c r="H39" s="118"/>
      <c r="I39" s="118"/>
      <c r="J39" s="118">
        <v>412</v>
      </c>
      <c r="K39" s="118">
        <v>378</v>
      </c>
      <c r="L39" s="118"/>
      <c r="M39" s="31"/>
      <c r="N39" s="234">
        <f t="shared" si="4"/>
        <v>2432</v>
      </c>
      <c r="O39" s="26">
        <v>2</v>
      </c>
      <c r="P39" s="26">
        <v>6</v>
      </c>
      <c r="Q39" s="26">
        <v>-92</v>
      </c>
      <c r="R39" s="26">
        <v>0</v>
      </c>
      <c r="U39" s="30">
        <v>1</v>
      </c>
    </row>
    <row r="40" spans="1:19" s="148" customFormat="1" ht="15.75">
      <c r="A40" s="19" t="s">
        <v>161</v>
      </c>
      <c r="B40" s="137" t="s">
        <v>22</v>
      </c>
      <c r="C40" s="104"/>
      <c r="D40" s="258">
        <v>437</v>
      </c>
      <c r="E40" s="258">
        <v>429</v>
      </c>
      <c r="F40" s="120"/>
      <c r="G40" s="258">
        <v>460</v>
      </c>
      <c r="H40" s="120">
        <v>390</v>
      </c>
      <c r="I40" s="120"/>
      <c r="J40" s="258">
        <v>450</v>
      </c>
      <c r="K40" s="120"/>
      <c r="L40" s="120">
        <v>402</v>
      </c>
      <c r="M40" s="289"/>
      <c r="N40" s="147">
        <f t="shared" si="4"/>
        <v>2568</v>
      </c>
      <c r="O40" s="145">
        <v>6</v>
      </c>
      <c r="P40" s="145">
        <v>2</v>
      </c>
      <c r="Q40" s="145">
        <v>174</v>
      </c>
      <c r="R40" s="145">
        <v>2</v>
      </c>
      <c r="S40" s="148">
        <v>1</v>
      </c>
    </row>
    <row r="41" spans="1:19" s="114" customFormat="1" ht="15.75">
      <c r="A41" s="110" t="s">
        <v>162</v>
      </c>
      <c r="B41" s="123" t="s">
        <v>196</v>
      </c>
      <c r="C41" s="30"/>
      <c r="D41" s="243">
        <v>419</v>
      </c>
      <c r="E41" s="43">
        <v>409</v>
      </c>
      <c r="F41" s="43">
        <v>409</v>
      </c>
      <c r="G41" s="243">
        <v>440</v>
      </c>
      <c r="H41" s="43"/>
      <c r="I41" s="43"/>
      <c r="J41" s="243">
        <v>449</v>
      </c>
      <c r="K41" s="243">
        <v>423</v>
      </c>
      <c r="L41" s="43"/>
      <c r="M41" s="111"/>
      <c r="N41" s="112">
        <f t="shared" si="4"/>
        <v>2549</v>
      </c>
      <c r="O41" s="110">
        <v>6</v>
      </c>
      <c r="P41" s="110">
        <v>2</v>
      </c>
      <c r="Q41" s="110">
        <f>N41-2484</f>
        <v>65</v>
      </c>
      <c r="R41" s="110">
        <v>2</v>
      </c>
      <c r="S41" s="114">
        <v>1</v>
      </c>
    </row>
    <row r="42" spans="1:18" s="299" customFormat="1" ht="15.75">
      <c r="A42" s="293" t="s">
        <v>163</v>
      </c>
      <c r="B42" s="294" t="s">
        <v>255</v>
      </c>
      <c r="D42" s="300"/>
      <c r="E42" s="300"/>
      <c r="F42" s="300"/>
      <c r="G42" s="300"/>
      <c r="H42" s="300"/>
      <c r="I42" s="300"/>
      <c r="J42" s="300"/>
      <c r="K42" s="300"/>
      <c r="L42" s="300"/>
      <c r="M42" s="295"/>
      <c r="N42" s="297">
        <f t="shared" si="4"/>
        <v>0</v>
      </c>
      <c r="O42" s="293"/>
      <c r="P42" s="293"/>
      <c r="Q42" s="293"/>
      <c r="R42" s="293"/>
    </row>
    <row r="43" spans="1:21" s="148" customFormat="1" ht="15.75">
      <c r="A43" s="19" t="s">
        <v>164</v>
      </c>
      <c r="B43" s="137" t="s">
        <v>264</v>
      </c>
      <c r="C43" s="104"/>
      <c r="D43" s="120">
        <v>391</v>
      </c>
      <c r="E43" s="258">
        <v>431</v>
      </c>
      <c r="F43" s="258">
        <v>461</v>
      </c>
      <c r="G43" s="120">
        <v>404</v>
      </c>
      <c r="H43" s="120"/>
      <c r="I43" s="120"/>
      <c r="J43" s="120">
        <v>416</v>
      </c>
      <c r="K43" s="120">
        <v>426</v>
      </c>
      <c r="L43" s="120"/>
      <c r="M43" s="289"/>
      <c r="N43" s="147">
        <f t="shared" si="4"/>
        <v>2529</v>
      </c>
      <c r="O43" s="145">
        <v>2</v>
      </c>
      <c r="P43" s="145">
        <v>6</v>
      </c>
      <c r="Q43" s="145">
        <v>-107</v>
      </c>
      <c r="R43" s="145">
        <v>0</v>
      </c>
      <c r="U43" s="148">
        <v>1</v>
      </c>
    </row>
    <row r="44" spans="1:21" s="30" customFormat="1" ht="15.75">
      <c r="A44" s="26" t="s">
        <v>165</v>
      </c>
      <c r="B44" s="57" t="s">
        <v>17</v>
      </c>
      <c r="C44" s="114"/>
      <c r="D44" s="118"/>
      <c r="E44" s="255">
        <v>453</v>
      </c>
      <c r="F44" s="118">
        <v>381</v>
      </c>
      <c r="G44" s="118">
        <v>412</v>
      </c>
      <c r="H44" s="118"/>
      <c r="I44" s="118"/>
      <c r="J44" s="255">
        <v>426</v>
      </c>
      <c r="K44" s="255">
        <v>433</v>
      </c>
      <c r="L44" s="118">
        <v>395</v>
      </c>
      <c r="M44" s="31"/>
      <c r="N44" s="234">
        <f t="shared" si="4"/>
        <v>2500</v>
      </c>
      <c r="O44" s="26">
        <v>3</v>
      </c>
      <c r="P44" s="26">
        <v>5</v>
      </c>
      <c r="Q44" s="26">
        <v>-9</v>
      </c>
      <c r="R44" s="26">
        <v>0</v>
      </c>
      <c r="U44" s="30">
        <v>1</v>
      </c>
    </row>
    <row r="45" spans="1:21" s="148" customFormat="1" ht="15.75">
      <c r="A45" s="19" t="s">
        <v>265</v>
      </c>
      <c r="B45" s="137" t="s">
        <v>15</v>
      </c>
      <c r="C45" s="104"/>
      <c r="D45" s="258">
        <v>425</v>
      </c>
      <c r="E45" s="120">
        <v>400</v>
      </c>
      <c r="F45" s="120">
        <v>402</v>
      </c>
      <c r="G45" s="258">
        <v>443</v>
      </c>
      <c r="H45" s="120"/>
      <c r="I45" s="120"/>
      <c r="J45" s="258">
        <v>444</v>
      </c>
      <c r="K45" s="120">
        <v>403</v>
      </c>
      <c r="L45" s="120"/>
      <c r="M45" s="289"/>
      <c r="N45" s="147">
        <f t="shared" si="4"/>
        <v>2517</v>
      </c>
      <c r="O45" s="145">
        <v>3</v>
      </c>
      <c r="P45" s="145">
        <v>5</v>
      </c>
      <c r="Q45" s="145">
        <v>-10</v>
      </c>
      <c r="R45" s="145">
        <v>0</v>
      </c>
      <c r="U45" s="148">
        <v>1</v>
      </c>
    </row>
    <row r="46" spans="1:21" s="114" customFormat="1" ht="15.75">
      <c r="A46" s="110" t="s">
        <v>266</v>
      </c>
      <c r="B46" s="123" t="s">
        <v>263</v>
      </c>
      <c r="C46" s="30"/>
      <c r="D46" s="43">
        <v>416</v>
      </c>
      <c r="E46" s="43">
        <v>433</v>
      </c>
      <c r="F46" s="43"/>
      <c r="G46" s="243">
        <v>448</v>
      </c>
      <c r="H46" s="43">
        <v>368</v>
      </c>
      <c r="I46" s="43"/>
      <c r="J46" s="243">
        <v>443</v>
      </c>
      <c r="K46" s="43">
        <v>420</v>
      </c>
      <c r="L46" s="43"/>
      <c r="M46" s="111"/>
      <c r="N46" s="112">
        <f t="shared" si="4"/>
        <v>2528</v>
      </c>
      <c r="O46" s="110">
        <v>2</v>
      </c>
      <c r="P46" s="110">
        <v>6</v>
      </c>
      <c r="Q46" s="110">
        <v>-111</v>
      </c>
      <c r="R46" s="110">
        <v>0</v>
      </c>
      <c r="U46" s="114">
        <v>1</v>
      </c>
    </row>
    <row r="47" spans="1:20" s="148" customFormat="1" ht="15.75">
      <c r="A47" s="19" t="s">
        <v>303</v>
      </c>
      <c r="B47" s="137" t="s">
        <v>23</v>
      </c>
      <c r="C47" s="104"/>
      <c r="D47" s="120">
        <v>408</v>
      </c>
      <c r="E47" s="120">
        <v>404</v>
      </c>
      <c r="F47" s="120">
        <v>413</v>
      </c>
      <c r="G47" s="338">
        <v>438</v>
      </c>
      <c r="H47" s="120"/>
      <c r="I47" s="120"/>
      <c r="J47" s="120">
        <v>417</v>
      </c>
      <c r="K47" s="338">
        <v>432</v>
      </c>
      <c r="L47" s="120"/>
      <c r="M47" s="289"/>
      <c r="N47" s="147">
        <f t="shared" si="4"/>
        <v>2512</v>
      </c>
      <c r="O47" s="145">
        <v>4</v>
      </c>
      <c r="P47" s="145">
        <v>4</v>
      </c>
      <c r="Q47" s="145">
        <v>41</v>
      </c>
      <c r="R47" s="145">
        <v>1</v>
      </c>
      <c r="T47" s="148">
        <v>1</v>
      </c>
    </row>
    <row r="48" spans="1:21" s="30" customFormat="1" ht="16.5" thickBot="1">
      <c r="A48" s="26" t="s">
        <v>304</v>
      </c>
      <c r="B48" s="57" t="s">
        <v>260</v>
      </c>
      <c r="C48" s="126"/>
      <c r="D48" s="119">
        <v>411</v>
      </c>
      <c r="E48" s="119">
        <v>411</v>
      </c>
      <c r="F48" s="119"/>
      <c r="G48" s="119">
        <v>391</v>
      </c>
      <c r="H48" s="119"/>
      <c r="I48" s="119"/>
      <c r="J48" s="367">
        <v>490</v>
      </c>
      <c r="K48" s="367">
        <v>444</v>
      </c>
      <c r="L48" s="119">
        <v>391</v>
      </c>
      <c r="M48" s="311"/>
      <c r="N48" s="234">
        <f t="shared" si="4"/>
        <v>2538</v>
      </c>
      <c r="O48" s="38">
        <v>2</v>
      </c>
      <c r="P48" s="38">
        <v>6</v>
      </c>
      <c r="Q48" s="38">
        <v>-51</v>
      </c>
      <c r="R48" s="38">
        <v>0</v>
      </c>
      <c r="S48" s="303"/>
      <c r="T48" s="303"/>
      <c r="U48" s="303">
        <v>1</v>
      </c>
    </row>
    <row r="49" spans="3:21" ht="16.5" thickTop="1">
      <c r="C49" s="7">
        <f aca="true" t="shared" si="5" ref="C49:L49">SUM(C32:C48)</f>
        <v>0</v>
      </c>
      <c r="D49" s="7">
        <f t="shared" si="5"/>
        <v>5752</v>
      </c>
      <c r="E49" s="7">
        <f t="shared" si="5"/>
        <v>6749</v>
      </c>
      <c r="F49" s="7">
        <f t="shared" si="5"/>
        <v>4633</v>
      </c>
      <c r="G49" s="7">
        <f>SUM(G32:G41)+SUM(G43:G48)</f>
        <v>6438</v>
      </c>
      <c r="H49" s="7">
        <f t="shared" si="5"/>
        <v>1117</v>
      </c>
      <c r="I49" s="7">
        <f t="shared" si="5"/>
        <v>0</v>
      </c>
      <c r="J49" s="7">
        <f t="shared" si="5"/>
        <v>7031</v>
      </c>
      <c r="K49" s="7">
        <f>SUM(K32:K41)+SUM(K43:K48)</f>
        <v>4597</v>
      </c>
      <c r="L49" s="7">
        <f t="shared" si="5"/>
        <v>4156</v>
      </c>
      <c r="O49" s="1">
        <f>SUM(O32:O48)</f>
        <v>59</v>
      </c>
      <c r="P49" s="1">
        <f>SUM(P32:P48)</f>
        <v>69</v>
      </c>
      <c r="Q49" s="1">
        <f>SUM(Q32:Q48)</f>
        <v>110</v>
      </c>
      <c r="R49" s="1">
        <f>SUM(R32:R48)</f>
        <v>13</v>
      </c>
      <c r="S49" s="1">
        <f>SUM(S32:S48)+S23</f>
        <v>15</v>
      </c>
      <c r="T49" s="1">
        <f>SUM(T32:T48)+T23</f>
        <v>1</v>
      </c>
      <c r="U49" s="1">
        <f>SUM(U32:U48)+U23</f>
        <v>16</v>
      </c>
    </row>
    <row r="50" spans="2:12" ht="15.75">
      <c r="B50" s="67" t="s">
        <v>248</v>
      </c>
      <c r="C50" s="1">
        <f>COUNT(C32:C48)</f>
        <v>0</v>
      </c>
      <c r="D50" s="1">
        <f aca="true" t="shared" si="6" ref="D50:L50">COUNT(D32:D48)</f>
        <v>14</v>
      </c>
      <c r="E50" s="1">
        <f t="shared" si="6"/>
        <v>16</v>
      </c>
      <c r="F50" s="1">
        <f t="shared" si="6"/>
        <v>11</v>
      </c>
      <c r="G50" s="1">
        <f>COUNT(G32:G41)+COUNT(G43:G48)</f>
        <v>15</v>
      </c>
      <c r="H50" s="1">
        <f t="shared" si="6"/>
        <v>3</v>
      </c>
      <c r="I50" s="1">
        <f t="shared" si="6"/>
        <v>0</v>
      </c>
      <c r="J50" s="1">
        <f t="shared" si="6"/>
        <v>16</v>
      </c>
      <c r="K50" s="1">
        <f>COUNT(K32:K41)+COUNT(K43:K48)</f>
        <v>11</v>
      </c>
      <c r="L50" s="1">
        <f t="shared" si="6"/>
        <v>10</v>
      </c>
    </row>
    <row r="51" spans="2:21" ht="31.5">
      <c r="B51" s="11" t="s">
        <v>127</v>
      </c>
      <c r="C51" s="16"/>
      <c r="D51" s="16">
        <f aca="true" t="shared" si="7" ref="D51:L51">D49/D50</f>
        <v>410.85714285714283</v>
      </c>
      <c r="E51" s="16">
        <f t="shared" si="7"/>
        <v>421.8125</v>
      </c>
      <c r="F51" s="16">
        <f t="shared" si="7"/>
        <v>421.1818181818182</v>
      </c>
      <c r="G51" s="16">
        <f t="shared" si="7"/>
        <v>429.2</v>
      </c>
      <c r="H51" s="16">
        <f t="shared" si="7"/>
        <v>372.3333333333333</v>
      </c>
      <c r="I51" s="16"/>
      <c r="J51" s="16">
        <f t="shared" si="7"/>
        <v>439.4375</v>
      </c>
      <c r="K51" s="16">
        <f t="shared" si="7"/>
        <v>417.90909090909093</v>
      </c>
      <c r="L51" s="16">
        <f t="shared" si="7"/>
        <v>415.6</v>
      </c>
      <c r="N51" s="3" t="s">
        <v>30</v>
      </c>
      <c r="O51" s="371" t="s">
        <v>115</v>
      </c>
      <c r="P51" s="371"/>
      <c r="Q51" s="3" t="s">
        <v>31</v>
      </c>
      <c r="R51" s="10" t="s">
        <v>116</v>
      </c>
      <c r="T51" s="74" t="s">
        <v>126</v>
      </c>
      <c r="U51" s="74" t="s">
        <v>223</v>
      </c>
    </row>
    <row r="52" spans="14:21" ht="15.75">
      <c r="N52" s="6">
        <f>SUM(N32:N48)+N26</f>
        <v>80887</v>
      </c>
      <c r="O52" s="6">
        <f>SUM(O32:O48)+O26</f>
        <v>125</v>
      </c>
      <c r="P52" s="6">
        <f>SUM(P32:P48)+P26</f>
        <v>131</v>
      </c>
      <c r="Q52" s="6">
        <f>SUM(Q32:Q48)+Q26</f>
        <v>126</v>
      </c>
      <c r="R52" s="6">
        <f>SUM(R32:R48)+R26</f>
        <v>31</v>
      </c>
      <c r="T52" s="2">
        <f>O52-P52</f>
        <v>-6</v>
      </c>
      <c r="U52" s="2">
        <f>SUM(S49:U49)</f>
        <v>32</v>
      </c>
    </row>
    <row r="54" spans="14:15" ht="15.75">
      <c r="N54" s="1" t="s">
        <v>128</v>
      </c>
      <c r="O54" s="18">
        <f>N52/U52</f>
        <v>2527.71875</v>
      </c>
    </row>
  </sheetData>
  <sheetProtection/>
  <mergeCells count="11">
    <mergeCell ref="E1:F1"/>
    <mergeCell ref="K2:L2"/>
    <mergeCell ref="H1:I1"/>
    <mergeCell ref="K1:L1"/>
    <mergeCell ref="O51:P51"/>
    <mergeCell ref="C4:M4"/>
    <mergeCell ref="O4:P4"/>
    <mergeCell ref="C28:D28"/>
    <mergeCell ref="O25:P25"/>
    <mergeCell ref="F28:G28"/>
    <mergeCell ref="I28:J28"/>
  </mergeCells>
  <printOptions/>
  <pageMargins left="0.75" right="0.75" top="1" bottom="1" header="0.5" footer="0.5"/>
  <pageSetup horizontalDpi="600" verticalDpi="600" orientation="portrait" paperSize="9" r:id="rId1"/>
  <ignoredErrors>
    <ignoredError sqref="H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zoomScalePageLayoutView="0" workbookViewId="0" topLeftCell="B28">
      <selection activeCell="I47" sqref="I47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4" width="9.25390625" style="1" bestFit="1" customWidth="1"/>
    <col min="5" max="5" width="10.25390625" style="1" customWidth="1"/>
    <col min="6" max="9" width="9.25390625" style="1" bestFit="1" customWidth="1"/>
    <col min="10" max="10" width="11.25390625" style="1" customWidth="1"/>
    <col min="11" max="11" width="11.375" style="1" customWidth="1"/>
    <col min="12" max="12" width="10.75390625" style="1" customWidth="1"/>
    <col min="13" max="13" width="15.875" style="1" bestFit="1" customWidth="1"/>
    <col min="14" max="14" width="16.00390625" style="1" bestFit="1" customWidth="1"/>
    <col min="15" max="15" width="11.625" style="1" customWidth="1"/>
    <col min="16" max="16" width="13.375" style="1" customWidth="1"/>
    <col min="17" max="17" width="12.125" style="1" customWidth="1"/>
    <col min="19" max="20" width="12.00390625" style="0" customWidth="1"/>
  </cols>
  <sheetData>
    <row r="1" spans="1:16" ht="15.75">
      <c r="A1" s="58" t="s">
        <v>141</v>
      </c>
      <c r="B1" s="59"/>
      <c r="C1" s="58" t="s">
        <v>146</v>
      </c>
      <c r="D1" s="61"/>
      <c r="E1" s="59" t="s">
        <v>139</v>
      </c>
      <c r="F1" s="372" t="s">
        <v>140</v>
      </c>
      <c r="G1" s="372"/>
      <c r="I1" s="368" t="s">
        <v>151</v>
      </c>
      <c r="J1" s="368"/>
      <c r="K1" s="11" t="s">
        <v>152</v>
      </c>
      <c r="L1" s="368" t="s">
        <v>126</v>
      </c>
      <c r="M1" s="368"/>
      <c r="O1" s="225" t="s">
        <v>128</v>
      </c>
      <c r="P1" s="18">
        <f>M26/T26</f>
        <v>2473.8125</v>
      </c>
    </row>
    <row r="2" spans="9:16" ht="15.75">
      <c r="I2" s="1">
        <f>N26+N48</f>
        <v>129</v>
      </c>
      <c r="J2" s="1">
        <f>O26+O48</f>
        <v>127</v>
      </c>
      <c r="K2" s="1">
        <f>Q26+Q48</f>
        <v>34</v>
      </c>
      <c r="L2" s="374">
        <f>I2-J2</f>
        <v>2</v>
      </c>
      <c r="M2" s="374"/>
      <c r="O2" s="225" t="s">
        <v>234</v>
      </c>
      <c r="P2" s="6">
        <f>M6+M8+M10+M12+M14+M16+M19+M21</f>
        <v>19854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4.5" customHeight="1" thickBot="1">
      <c r="B5" s="3" t="s">
        <v>25</v>
      </c>
      <c r="C5" s="8" t="s">
        <v>64</v>
      </c>
      <c r="D5" s="8" t="s">
        <v>63</v>
      </c>
      <c r="E5" s="8" t="s">
        <v>293</v>
      </c>
      <c r="F5" s="8" t="s">
        <v>62</v>
      </c>
      <c r="G5" s="8" t="s">
        <v>61</v>
      </c>
      <c r="H5" s="8" t="s">
        <v>60</v>
      </c>
      <c r="I5" s="8" t="s">
        <v>221</v>
      </c>
      <c r="J5" s="8" t="s">
        <v>112</v>
      </c>
      <c r="K5" s="8" t="s">
        <v>123</v>
      </c>
      <c r="L5" s="8" t="s">
        <v>291</v>
      </c>
      <c r="M5" s="3" t="s">
        <v>30</v>
      </c>
      <c r="N5" s="3" t="s">
        <v>20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17</v>
      </c>
      <c r="C6" s="243">
        <v>465</v>
      </c>
      <c r="D6" s="43"/>
      <c r="E6" s="43"/>
      <c r="F6" s="43"/>
      <c r="G6" s="43">
        <v>368</v>
      </c>
      <c r="H6" s="43">
        <v>397</v>
      </c>
      <c r="I6" s="243">
        <v>424</v>
      </c>
      <c r="J6" s="43">
        <v>341</v>
      </c>
      <c r="K6" s="43"/>
      <c r="L6" s="250">
        <v>413</v>
      </c>
      <c r="M6" s="109">
        <f>SUM(C6:L6)</f>
        <v>2408</v>
      </c>
      <c r="N6" s="110">
        <v>3</v>
      </c>
      <c r="O6" s="110">
        <v>5</v>
      </c>
      <c r="P6" s="109">
        <f>M6-2495</f>
        <v>-87</v>
      </c>
      <c r="Q6" s="110">
        <v>0</v>
      </c>
      <c r="R6" s="113"/>
      <c r="S6" s="113"/>
      <c r="T6" s="113">
        <v>1</v>
      </c>
    </row>
    <row r="7" spans="1:20" s="23" customFormat="1" ht="15.75">
      <c r="A7" s="145" t="s">
        <v>1</v>
      </c>
      <c r="B7" s="153" t="s">
        <v>15</v>
      </c>
      <c r="C7" s="257">
        <v>423</v>
      </c>
      <c r="D7" s="146"/>
      <c r="E7" s="146">
        <v>356</v>
      </c>
      <c r="F7" s="146"/>
      <c r="G7" s="257">
        <v>433</v>
      </c>
      <c r="H7" s="146">
        <v>380</v>
      </c>
      <c r="I7" s="257">
        <v>438</v>
      </c>
      <c r="J7" s="146"/>
      <c r="K7" s="146">
        <v>397</v>
      </c>
      <c r="L7" s="165"/>
      <c r="M7" s="21">
        <f aca="true" t="shared" si="0" ref="M7:M17">SUM(C7:L7)</f>
        <v>2427</v>
      </c>
      <c r="N7" s="19">
        <v>3</v>
      </c>
      <c r="O7" s="19">
        <v>5</v>
      </c>
      <c r="P7" s="19">
        <v>-90</v>
      </c>
      <c r="Q7" s="19">
        <v>0</v>
      </c>
      <c r="R7" s="22"/>
      <c r="S7" s="22"/>
      <c r="T7" s="22">
        <v>1</v>
      </c>
    </row>
    <row r="8" spans="1:20" s="114" customFormat="1" ht="15.75">
      <c r="A8" s="26" t="s">
        <v>2</v>
      </c>
      <c r="B8" s="57" t="s">
        <v>263</v>
      </c>
      <c r="C8" s="243">
        <v>451</v>
      </c>
      <c r="D8" s="43"/>
      <c r="E8" s="43"/>
      <c r="F8" s="43"/>
      <c r="G8" s="243">
        <v>430</v>
      </c>
      <c r="H8" s="43">
        <v>358</v>
      </c>
      <c r="I8" s="243">
        <v>425</v>
      </c>
      <c r="J8" s="43"/>
      <c r="K8" s="243">
        <v>424</v>
      </c>
      <c r="L8" s="39">
        <v>393</v>
      </c>
      <c r="M8" s="109">
        <f t="shared" si="0"/>
        <v>2481</v>
      </c>
      <c r="N8" s="110">
        <v>6</v>
      </c>
      <c r="O8" s="110">
        <v>2</v>
      </c>
      <c r="P8" s="110">
        <v>127</v>
      </c>
      <c r="Q8" s="110">
        <v>2</v>
      </c>
      <c r="R8" s="113">
        <v>1</v>
      </c>
      <c r="S8" s="113"/>
      <c r="T8" s="113"/>
    </row>
    <row r="9" spans="1:20" s="104" customFormat="1" ht="15.75">
      <c r="A9" s="19" t="s">
        <v>3</v>
      </c>
      <c r="B9" s="137" t="s">
        <v>23</v>
      </c>
      <c r="C9" s="42">
        <v>408</v>
      </c>
      <c r="D9" s="42"/>
      <c r="E9" s="42"/>
      <c r="F9" s="42">
        <v>384</v>
      </c>
      <c r="G9" s="244">
        <v>425</v>
      </c>
      <c r="H9" s="42">
        <v>378</v>
      </c>
      <c r="I9" s="244">
        <v>424</v>
      </c>
      <c r="J9" s="42"/>
      <c r="K9" s="42"/>
      <c r="L9" s="35">
        <v>362</v>
      </c>
      <c r="M9" s="154">
        <f t="shared" si="0"/>
        <v>2381</v>
      </c>
      <c r="N9" s="100">
        <v>2</v>
      </c>
      <c r="O9" s="100">
        <v>6</v>
      </c>
      <c r="P9" s="154">
        <v>-135</v>
      </c>
      <c r="Q9" s="100">
        <v>0</v>
      </c>
      <c r="R9" s="103"/>
      <c r="S9" s="103"/>
      <c r="T9" s="103">
        <v>1</v>
      </c>
    </row>
    <row r="10" spans="1:20" s="114" customFormat="1" ht="15.75">
      <c r="A10" s="26" t="s">
        <v>4</v>
      </c>
      <c r="B10" s="57" t="s">
        <v>260</v>
      </c>
      <c r="C10" s="243">
        <v>453</v>
      </c>
      <c r="D10" s="43">
        <v>376</v>
      </c>
      <c r="E10" s="43"/>
      <c r="F10" s="43">
        <v>408</v>
      </c>
      <c r="G10" s="43">
        <v>398</v>
      </c>
      <c r="H10" s="43"/>
      <c r="I10" s="43">
        <v>426</v>
      </c>
      <c r="J10" s="43"/>
      <c r="K10" s="243">
        <v>430</v>
      </c>
      <c r="L10" s="39"/>
      <c r="M10" s="109">
        <f t="shared" si="0"/>
        <v>2491</v>
      </c>
      <c r="N10" s="110">
        <v>2</v>
      </c>
      <c r="O10" s="110">
        <v>6</v>
      </c>
      <c r="P10" s="109">
        <v>-190</v>
      </c>
      <c r="Q10" s="110">
        <v>0</v>
      </c>
      <c r="R10" s="113"/>
      <c r="S10" s="113"/>
      <c r="T10" s="113">
        <v>1</v>
      </c>
    </row>
    <row r="11" spans="1:20" s="148" customFormat="1" ht="15.75">
      <c r="A11" s="100" t="s">
        <v>5</v>
      </c>
      <c r="B11" s="121" t="s">
        <v>209</v>
      </c>
      <c r="C11" s="258">
        <v>435</v>
      </c>
      <c r="D11" s="258">
        <v>443</v>
      </c>
      <c r="E11" s="120"/>
      <c r="F11" s="120">
        <v>414</v>
      </c>
      <c r="G11" s="120"/>
      <c r="H11" s="120">
        <v>356</v>
      </c>
      <c r="I11" s="258">
        <v>438</v>
      </c>
      <c r="J11" s="120"/>
      <c r="K11" s="120">
        <v>385</v>
      </c>
      <c r="L11" s="157"/>
      <c r="M11" s="175">
        <f t="shared" si="0"/>
        <v>2471</v>
      </c>
      <c r="N11" s="145">
        <v>3</v>
      </c>
      <c r="O11" s="145">
        <v>5</v>
      </c>
      <c r="P11" s="145">
        <v>-19</v>
      </c>
      <c r="Q11" s="145">
        <v>0</v>
      </c>
      <c r="R11" s="176"/>
      <c r="S11" s="176"/>
      <c r="T11" s="176">
        <v>1</v>
      </c>
    </row>
    <row r="12" spans="1:20" s="114" customFormat="1" ht="15.75">
      <c r="A12" s="26" t="s">
        <v>6</v>
      </c>
      <c r="B12" s="57" t="s">
        <v>16</v>
      </c>
      <c r="C12" s="243">
        <v>429</v>
      </c>
      <c r="D12" s="43">
        <v>409</v>
      </c>
      <c r="E12" s="43"/>
      <c r="F12" s="243">
        <v>437</v>
      </c>
      <c r="G12" s="43">
        <v>388</v>
      </c>
      <c r="H12" s="43"/>
      <c r="I12" s="43">
        <v>426</v>
      </c>
      <c r="J12" s="43"/>
      <c r="K12" s="43"/>
      <c r="L12" s="39">
        <v>394</v>
      </c>
      <c r="M12" s="109">
        <f t="shared" si="0"/>
        <v>2483</v>
      </c>
      <c r="N12" s="110">
        <v>2</v>
      </c>
      <c r="O12" s="110">
        <v>6</v>
      </c>
      <c r="P12" s="110">
        <v>-145</v>
      </c>
      <c r="Q12" s="110">
        <v>0</v>
      </c>
      <c r="R12" s="113"/>
      <c r="S12" s="113"/>
      <c r="T12" s="113">
        <v>1</v>
      </c>
    </row>
    <row r="13" spans="1:20" s="23" customFormat="1" ht="15.75">
      <c r="A13" s="145" t="s">
        <v>7</v>
      </c>
      <c r="B13" s="153" t="s">
        <v>205</v>
      </c>
      <c r="C13" s="257">
        <v>435</v>
      </c>
      <c r="D13" s="257">
        <v>413</v>
      </c>
      <c r="E13" s="146"/>
      <c r="F13" s="146">
        <v>404</v>
      </c>
      <c r="G13" s="146"/>
      <c r="H13" s="257">
        <v>416</v>
      </c>
      <c r="I13" s="257">
        <v>438</v>
      </c>
      <c r="J13" s="146"/>
      <c r="K13" s="146">
        <v>400</v>
      </c>
      <c r="L13" s="165"/>
      <c r="M13" s="21">
        <f t="shared" si="0"/>
        <v>2506</v>
      </c>
      <c r="N13" s="19">
        <v>6</v>
      </c>
      <c r="O13" s="19">
        <v>2</v>
      </c>
      <c r="P13" s="21">
        <f>M13-2419</f>
        <v>87</v>
      </c>
      <c r="Q13" s="19">
        <v>2</v>
      </c>
      <c r="R13" s="22">
        <v>1</v>
      </c>
      <c r="S13" s="22"/>
      <c r="T13" s="22"/>
    </row>
    <row r="14" spans="1:20" s="114" customFormat="1" ht="15.75">
      <c r="A14" s="26" t="s">
        <v>8</v>
      </c>
      <c r="B14" s="57" t="s">
        <v>21</v>
      </c>
      <c r="C14" s="243">
        <v>449</v>
      </c>
      <c r="D14" s="43">
        <v>393</v>
      </c>
      <c r="E14" s="43"/>
      <c r="F14" s="43"/>
      <c r="G14" s="43"/>
      <c r="H14" s="43">
        <v>323</v>
      </c>
      <c r="I14" s="243">
        <v>432</v>
      </c>
      <c r="J14" s="43"/>
      <c r="K14" s="43">
        <v>396</v>
      </c>
      <c r="L14" s="250">
        <v>426</v>
      </c>
      <c r="M14" s="109">
        <f t="shared" si="0"/>
        <v>2419</v>
      </c>
      <c r="N14" s="110">
        <v>3</v>
      </c>
      <c r="O14" s="110">
        <v>5</v>
      </c>
      <c r="P14" s="110">
        <v>-76</v>
      </c>
      <c r="Q14" s="110">
        <v>0</v>
      </c>
      <c r="R14" s="113"/>
      <c r="S14" s="113"/>
      <c r="T14" s="113">
        <v>1</v>
      </c>
    </row>
    <row r="15" spans="1:20" s="104" customFormat="1" ht="15.75">
      <c r="A15" s="19" t="s">
        <v>9</v>
      </c>
      <c r="B15" s="137" t="s">
        <v>26</v>
      </c>
      <c r="C15" s="244">
        <v>458</v>
      </c>
      <c r="D15" s="42">
        <v>394</v>
      </c>
      <c r="E15" s="137">
        <v>383</v>
      </c>
      <c r="F15" s="244">
        <v>426</v>
      </c>
      <c r="G15" s="42"/>
      <c r="H15" s="42"/>
      <c r="I15" s="42">
        <v>421</v>
      </c>
      <c r="J15" s="42">
        <v>339</v>
      </c>
      <c r="K15" s="42"/>
      <c r="L15" s="35"/>
      <c r="M15" s="154">
        <f t="shared" si="0"/>
        <v>2421</v>
      </c>
      <c r="N15" s="100">
        <v>2</v>
      </c>
      <c r="O15" s="100">
        <v>6</v>
      </c>
      <c r="P15" s="154">
        <f>M15-2575</f>
        <v>-154</v>
      </c>
      <c r="Q15" s="100">
        <v>0</v>
      </c>
      <c r="R15" s="103"/>
      <c r="S15" s="103"/>
      <c r="T15" s="103">
        <v>1</v>
      </c>
    </row>
    <row r="16" spans="1:20" s="114" customFormat="1" ht="15.75">
      <c r="A16" s="26" t="s">
        <v>10</v>
      </c>
      <c r="B16" s="57" t="s">
        <v>208</v>
      </c>
      <c r="C16" s="243">
        <v>460</v>
      </c>
      <c r="D16" s="43">
        <v>398</v>
      </c>
      <c r="E16" s="57"/>
      <c r="F16" s="43">
        <v>417</v>
      </c>
      <c r="G16" s="43">
        <v>399</v>
      </c>
      <c r="H16" s="43"/>
      <c r="I16" s="43">
        <v>419</v>
      </c>
      <c r="J16" s="43"/>
      <c r="K16" s="243">
        <v>432</v>
      </c>
      <c r="L16" s="39"/>
      <c r="M16" s="109">
        <f t="shared" si="0"/>
        <v>2525</v>
      </c>
      <c r="N16" s="110">
        <v>2</v>
      </c>
      <c r="O16" s="110">
        <v>6</v>
      </c>
      <c r="P16" s="109">
        <v>-33</v>
      </c>
      <c r="Q16" s="110">
        <v>0</v>
      </c>
      <c r="R16" s="113"/>
      <c r="S16" s="113"/>
      <c r="T16" s="113">
        <v>1</v>
      </c>
    </row>
    <row r="17" spans="1:20" s="148" customFormat="1" ht="15.75">
      <c r="A17" s="100" t="s">
        <v>11</v>
      </c>
      <c r="B17" s="121" t="s">
        <v>206</v>
      </c>
      <c r="C17" s="258">
        <v>439</v>
      </c>
      <c r="D17" s="120">
        <v>401</v>
      </c>
      <c r="E17" s="121"/>
      <c r="F17" s="120">
        <v>403</v>
      </c>
      <c r="G17" s="120"/>
      <c r="H17" s="120"/>
      <c r="I17" s="258">
        <v>413</v>
      </c>
      <c r="J17" s="120"/>
      <c r="K17" s="258">
        <v>421</v>
      </c>
      <c r="L17" s="157">
        <v>364</v>
      </c>
      <c r="M17" s="175">
        <f t="shared" si="0"/>
        <v>2441</v>
      </c>
      <c r="N17" s="145">
        <v>5</v>
      </c>
      <c r="O17" s="145">
        <v>3</v>
      </c>
      <c r="P17" s="175">
        <v>19</v>
      </c>
      <c r="Q17" s="145">
        <v>2</v>
      </c>
      <c r="R17" s="176">
        <v>1</v>
      </c>
      <c r="S17" s="176"/>
      <c r="T17" s="176"/>
    </row>
    <row r="18" spans="1:20" s="104" customFormat="1" ht="15.75">
      <c r="A18" s="19" t="s">
        <v>12</v>
      </c>
      <c r="B18" s="137" t="s">
        <v>255</v>
      </c>
      <c r="C18" s="215"/>
      <c r="D18" s="215"/>
      <c r="E18" s="231"/>
      <c r="F18" s="215"/>
      <c r="G18" s="215"/>
      <c r="H18" s="215"/>
      <c r="I18" s="215"/>
      <c r="J18" s="215"/>
      <c r="K18" s="215"/>
      <c r="L18" s="232"/>
      <c r="M18" s="154" t="s">
        <v>255</v>
      </c>
      <c r="N18" s="183"/>
      <c r="O18" s="183"/>
      <c r="P18" s="183"/>
      <c r="Q18" s="183"/>
      <c r="R18" s="185"/>
      <c r="S18" s="185"/>
      <c r="T18" s="185"/>
    </row>
    <row r="19" spans="1:20" s="114" customFormat="1" ht="15.75">
      <c r="A19" s="26" t="s">
        <v>13</v>
      </c>
      <c r="B19" s="57" t="s">
        <v>22</v>
      </c>
      <c r="C19" s="43">
        <v>407</v>
      </c>
      <c r="D19" s="43">
        <v>398</v>
      </c>
      <c r="E19" s="43"/>
      <c r="F19" s="243">
        <v>426</v>
      </c>
      <c r="G19" s="43"/>
      <c r="H19" s="43"/>
      <c r="I19" s="43">
        <v>400</v>
      </c>
      <c r="J19" s="43"/>
      <c r="K19" s="243">
        <v>429</v>
      </c>
      <c r="L19" s="250">
        <v>431</v>
      </c>
      <c r="M19" s="109">
        <f>SUM(C19:L19)</f>
        <v>2491</v>
      </c>
      <c r="N19" s="110">
        <v>5</v>
      </c>
      <c r="O19" s="110">
        <v>3</v>
      </c>
      <c r="P19" s="110">
        <v>81</v>
      </c>
      <c r="Q19" s="110">
        <v>2</v>
      </c>
      <c r="R19" s="113">
        <v>1</v>
      </c>
      <c r="S19" s="113"/>
      <c r="T19" s="113"/>
    </row>
    <row r="20" spans="1:20" s="148" customFormat="1" ht="15.75">
      <c r="A20" s="100" t="s">
        <v>14</v>
      </c>
      <c r="B20" s="121" t="s">
        <v>196</v>
      </c>
      <c r="C20" s="258">
        <v>456</v>
      </c>
      <c r="D20" s="120">
        <v>399</v>
      </c>
      <c r="E20" s="120"/>
      <c r="F20" s="258">
        <v>421</v>
      </c>
      <c r="G20" s="120"/>
      <c r="H20" s="120"/>
      <c r="I20" s="120">
        <v>380</v>
      </c>
      <c r="J20" s="120"/>
      <c r="K20" s="258">
        <v>425</v>
      </c>
      <c r="L20" s="157">
        <v>391</v>
      </c>
      <c r="M20" s="175">
        <f>SUM(C20:L20)</f>
        <v>2472</v>
      </c>
      <c r="N20" s="145">
        <v>5</v>
      </c>
      <c r="O20" s="145">
        <v>3</v>
      </c>
      <c r="P20" s="145">
        <v>63</v>
      </c>
      <c r="Q20" s="145">
        <v>2</v>
      </c>
      <c r="R20" s="176">
        <v>1</v>
      </c>
      <c r="S20" s="176"/>
      <c r="T20" s="176"/>
    </row>
    <row r="21" spans="1:20" s="114" customFormat="1" ht="15.75">
      <c r="A21" s="26" t="s">
        <v>261</v>
      </c>
      <c r="B21" s="57" t="s">
        <v>19</v>
      </c>
      <c r="C21" s="243">
        <v>437</v>
      </c>
      <c r="D21" s="243">
        <v>432</v>
      </c>
      <c r="E21" s="43"/>
      <c r="F21" s="243">
        <v>450</v>
      </c>
      <c r="G21" s="43">
        <v>387</v>
      </c>
      <c r="H21" s="43"/>
      <c r="I21" s="243">
        <v>428</v>
      </c>
      <c r="J21" s="43"/>
      <c r="K21" s="43">
        <v>422</v>
      </c>
      <c r="L21" s="39"/>
      <c r="M21" s="109">
        <f>SUM(C21:L21)</f>
        <v>2556</v>
      </c>
      <c r="N21" s="110">
        <v>6</v>
      </c>
      <c r="O21" s="110">
        <v>2</v>
      </c>
      <c r="P21" s="110">
        <v>110</v>
      </c>
      <c r="Q21" s="110">
        <v>2</v>
      </c>
      <c r="R21" s="113">
        <v>1</v>
      </c>
      <c r="S21" s="113"/>
      <c r="T21" s="113"/>
    </row>
    <row r="22" spans="1:20" s="23" customFormat="1" ht="16.5" thickBot="1">
      <c r="A22" s="145" t="s">
        <v>262</v>
      </c>
      <c r="B22" s="153" t="s">
        <v>24</v>
      </c>
      <c r="C22" s="170">
        <v>416</v>
      </c>
      <c r="D22" s="284">
        <v>456</v>
      </c>
      <c r="E22" s="170"/>
      <c r="F22" s="284">
        <v>462</v>
      </c>
      <c r="G22" s="170"/>
      <c r="H22" s="170"/>
      <c r="I22" s="284">
        <v>468</v>
      </c>
      <c r="J22" s="170"/>
      <c r="K22" s="170">
        <v>416</v>
      </c>
      <c r="L22" s="171">
        <v>390</v>
      </c>
      <c r="M22" s="24">
        <f>SUM(C22:L22)</f>
        <v>2608</v>
      </c>
      <c r="N22" s="25">
        <v>5</v>
      </c>
      <c r="O22" s="25">
        <v>3</v>
      </c>
      <c r="P22" s="24">
        <v>114</v>
      </c>
      <c r="Q22" s="25">
        <v>2</v>
      </c>
      <c r="R22" s="76">
        <v>1</v>
      </c>
      <c r="S22" s="76"/>
      <c r="T22" s="76"/>
    </row>
    <row r="23" spans="3:20" ht="16.5" thickTop="1">
      <c r="C23" s="6">
        <f aca="true" t="shared" si="1" ref="C23:L23">SUM(C6:C22)</f>
        <v>7021</v>
      </c>
      <c r="D23" s="6">
        <f t="shared" si="1"/>
        <v>4912</v>
      </c>
      <c r="E23" s="6">
        <f t="shared" si="1"/>
        <v>739</v>
      </c>
      <c r="F23" s="6">
        <f t="shared" si="1"/>
        <v>5052</v>
      </c>
      <c r="G23" s="6">
        <f t="shared" si="1"/>
        <v>3228</v>
      </c>
      <c r="H23" s="6">
        <f t="shared" si="1"/>
        <v>2608</v>
      </c>
      <c r="I23" s="6">
        <f t="shared" si="1"/>
        <v>6800</v>
      </c>
      <c r="J23" s="6">
        <f t="shared" si="1"/>
        <v>680</v>
      </c>
      <c r="K23" s="6">
        <f t="shared" si="1"/>
        <v>4977</v>
      </c>
      <c r="L23" s="6">
        <f t="shared" si="1"/>
        <v>3564</v>
      </c>
      <c r="R23" s="2">
        <f>SUM(R6:R22)</f>
        <v>7</v>
      </c>
      <c r="S23" s="2">
        <f>SUM(S6:S22)</f>
        <v>0</v>
      </c>
      <c r="T23" s="2">
        <f>SUM(T6:T22)</f>
        <v>9</v>
      </c>
    </row>
    <row r="24" spans="2:12" ht="15.75">
      <c r="B24" s="1" t="s">
        <v>225</v>
      </c>
      <c r="C24" s="6">
        <f>COUNT(C6:C22)</f>
        <v>16</v>
      </c>
      <c r="D24" s="6">
        <f aca="true" t="shared" si="2" ref="D24:L24">COUNT(D6:D22)</f>
        <v>12</v>
      </c>
      <c r="E24" s="6">
        <f t="shared" si="2"/>
        <v>2</v>
      </c>
      <c r="F24" s="6">
        <f t="shared" si="2"/>
        <v>12</v>
      </c>
      <c r="G24" s="6">
        <f t="shared" si="2"/>
        <v>8</v>
      </c>
      <c r="H24" s="6">
        <f t="shared" si="2"/>
        <v>7</v>
      </c>
      <c r="I24" s="6">
        <f t="shared" si="2"/>
        <v>16</v>
      </c>
      <c r="J24" s="6">
        <f t="shared" si="2"/>
        <v>2</v>
      </c>
      <c r="K24" s="6">
        <f t="shared" si="2"/>
        <v>12</v>
      </c>
      <c r="L24" s="6">
        <f t="shared" si="2"/>
        <v>9</v>
      </c>
    </row>
    <row r="25" spans="2:20" ht="31.5">
      <c r="B25" s="11" t="s">
        <v>127</v>
      </c>
      <c r="C25" s="16">
        <f>AVERAGE(C6:C22)</f>
        <v>438.8125</v>
      </c>
      <c r="D25" s="16">
        <f aca="true" t="shared" si="3" ref="D25:L25">AVERAGE(D6:D22)</f>
        <v>409.3333333333333</v>
      </c>
      <c r="E25" s="16">
        <f t="shared" si="3"/>
        <v>369.5</v>
      </c>
      <c r="F25" s="16">
        <f t="shared" si="3"/>
        <v>421</v>
      </c>
      <c r="G25" s="16">
        <f t="shared" si="3"/>
        <v>403.5</v>
      </c>
      <c r="H25" s="16">
        <f t="shared" si="3"/>
        <v>372.57142857142856</v>
      </c>
      <c r="I25" s="16">
        <f t="shared" si="3"/>
        <v>425</v>
      </c>
      <c r="J25" s="16">
        <f t="shared" si="3"/>
        <v>340</v>
      </c>
      <c r="K25" s="16">
        <f t="shared" si="3"/>
        <v>414.75</v>
      </c>
      <c r="L25" s="16">
        <f t="shared" si="3"/>
        <v>396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39581</v>
      </c>
      <c r="N26" s="1">
        <f>SUM(N6:N22)</f>
        <v>60</v>
      </c>
      <c r="O26" s="1">
        <f>SUM(O6:O22)</f>
        <v>68</v>
      </c>
      <c r="P26" s="1">
        <f>SUM(P6:P22)</f>
        <v>-328</v>
      </c>
      <c r="Q26" s="1">
        <f>SUM(Q6:Q22)</f>
        <v>14</v>
      </c>
      <c r="S26" s="2">
        <f>N26-O26</f>
        <v>-8</v>
      </c>
      <c r="T26" s="2">
        <f>SUM(R23:T23)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20" ht="16.5" thickBot="1">
      <c r="A28" s="73"/>
      <c r="B28" s="73"/>
      <c r="C28" s="73"/>
      <c r="D28" s="73"/>
      <c r="E28" s="73"/>
      <c r="F28" s="23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26"/>
      <c r="S28" s="226"/>
      <c r="T28" s="226"/>
    </row>
    <row r="30" spans="2:20" ht="34.5" customHeight="1" thickBot="1">
      <c r="B30" s="3" t="s">
        <v>25</v>
      </c>
      <c r="C30" s="8" t="s">
        <v>64</v>
      </c>
      <c r="D30" s="8" t="s">
        <v>63</v>
      </c>
      <c r="E30" s="8" t="s">
        <v>293</v>
      </c>
      <c r="F30" s="8" t="s">
        <v>62</v>
      </c>
      <c r="G30" s="8" t="s">
        <v>61</v>
      </c>
      <c r="H30" s="8" t="s">
        <v>60</v>
      </c>
      <c r="I30" s="8" t="s">
        <v>221</v>
      </c>
      <c r="J30" s="8" t="s">
        <v>112</v>
      </c>
      <c r="K30" s="8" t="s">
        <v>123</v>
      </c>
      <c r="L30" s="8" t="s">
        <v>291</v>
      </c>
      <c r="M30" s="3" t="s">
        <v>30</v>
      </c>
      <c r="N30" s="3" t="s">
        <v>20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20" s="23" customFormat="1" ht="15.75">
      <c r="A31" s="145" t="s">
        <v>153</v>
      </c>
      <c r="B31" s="153" t="s">
        <v>21</v>
      </c>
      <c r="C31" s="257">
        <v>430</v>
      </c>
      <c r="D31" s="146">
        <v>397</v>
      </c>
      <c r="E31" s="146"/>
      <c r="F31" s="146">
        <v>412</v>
      </c>
      <c r="G31" s="257">
        <v>416</v>
      </c>
      <c r="H31" s="146"/>
      <c r="I31" s="146">
        <v>412</v>
      </c>
      <c r="J31" s="146"/>
      <c r="K31" s="146">
        <v>412</v>
      </c>
      <c r="L31" s="146"/>
      <c r="M31" s="69">
        <f>SUM(C31:L31)</f>
        <v>2479</v>
      </c>
      <c r="N31" s="19">
        <v>2</v>
      </c>
      <c r="O31" s="19">
        <v>6</v>
      </c>
      <c r="P31" s="19">
        <v>-82</v>
      </c>
      <c r="Q31" s="19">
        <v>0</v>
      </c>
      <c r="T31" s="23">
        <v>1</v>
      </c>
    </row>
    <row r="32" spans="1:20" s="114" customFormat="1" ht="15.75">
      <c r="A32" s="26" t="s">
        <v>154</v>
      </c>
      <c r="B32" s="57" t="s">
        <v>26</v>
      </c>
      <c r="C32" s="43">
        <v>427</v>
      </c>
      <c r="D32" s="43">
        <v>393</v>
      </c>
      <c r="E32" s="43"/>
      <c r="F32" s="43">
        <v>399</v>
      </c>
      <c r="G32" s="43"/>
      <c r="H32" s="43"/>
      <c r="I32" s="243">
        <v>444</v>
      </c>
      <c r="J32" s="43"/>
      <c r="K32" s="243">
        <v>438</v>
      </c>
      <c r="L32" s="43">
        <v>412</v>
      </c>
      <c r="M32" s="112">
        <f aca="true" t="shared" si="4" ref="M32:M47">SUM(C32:L32)</f>
        <v>2513</v>
      </c>
      <c r="N32" s="110">
        <v>2</v>
      </c>
      <c r="O32" s="110">
        <v>6</v>
      </c>
      <c r="P32" s="110">
        <f>M32-2602</f>
        <v>-89</v>
      </c>
      <c r="Q32" s="110">
        <v>0</v>
      </c>
      <c r="T32" s="114">
        <v>1</v>
      </c>
    </row>
    <row r="33" spans="1:18" s="148" customFormat="1" ht="15.75">
      <c r="A33" s="100" t="s">
        <v>155</v>
      </c>
      <c r="B33" s="121" t="s">
        <v>208</v>
      </c>
      <c r="C33" s="258">
        <v>452</v>
      </c>
      <c r="D33" s="120">
        <v>430</v>
      </c>
      <c r="E33" s="120"/>
      <c r="F33" s="120">
        <v>403</v>
      </c>
      <c r="G33" s="258">
        <v>430</v>
      </c>
      <c r="H33" s="120"/>
      <c r="I33" s="258">
        <v>444</v>
      </c>
      <c r="J33" s="120"/>
      <c r="K33" s="120">
        <v>428</v>
      </c>
      <c r="L33" s="120"/>
      <c r="M33" s="147">
        <f t="shared" si="4"/>
        <v>2587</v>
      </c>
      <c r="N33" s="145">
        <v>5</v>
      </c>
      <c r="O33" s="145">
        <v>3</v>
      </c>
      <c r="P33" s="145">
        <v>42</v>
      </c>
      <c r="Q33" s="145">
        <v>2</v>
      </c>
      <c r="R33" s="148">
        <v>1</v>
      </c>
    </row>
    <row r="34" spans="1:18" s="114" customFormat="1" ht="15.75">
      <c r="A34" s="26" t="s">
        <v>156</v>
      </c>
      <c r="B34" s="57" t="s">
        <v>206</v>
      </c>
      <c r="C34" s="243">
        <v>441</v>
      </c>
      <c r="D34" s="43">
        <v>406</v>
      </c>
      <c r="E34" s="43"/>
      <c r="F34" s="243">
        <v>439</v>
      </c>
      <c r="G34" s="43">
        <v>378</v>
      </c>
      <c r="H34" s="43"/>
      <c r="I34" s="243">
        <v>434</v>
      </c>
      <c r="J34" s="43"/>
      <c r="K34" s="243">
        <v>452</v>
      </c>
      <c r="L34" s="43"/>
      <c r="M34" s="112">
        <f t="shared" si="4"/>
        <v>2550</v>
      </c>
      <c r="N34" s="110">
        <v>6</v>
      </c>
      <c r="O34" s="110">
        <v>2</v>
      </c>
      <c r="P34" s="110">
        <v>120</v>
      </c>
      <c r="Q34" s="110">
        <v>2</v>
      </c>
      <c r="R34" s="114">
        <v>1</v>
      </c>
    </row>
    <row r="35" spans="1:17" s="299" customFormat="1" ht="15.75">
      <c r="A35" s="293" t="s">
        <v>157</v>
      </c>
      <c r="B35" s="294" t="s">
        <v>255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297">
        <f t="shared" si="4"/>
        <v>0</v>
      </c>
      <c r="N35" s="293"/>
      <c r="O35" s="293"/>
      <c r="P35" s="293"/>
      <c r="Q35" s="293"/>
    </row>
    <row r="36" spans="1:18" s="104" customFormat="1" ht="15.75">
      <c r="A36" s="19" t="s">
        <v>158</v>
      </c>
      <c r="B36" s="137" t="s">
        <v>22</v>
      </c>
      <c r="C36" s="244">
        <v>476</v>
      </c>
      <c r="D36" s="42">
        <v>370</v>
      </c>
      <c r="E36" s="42"/>
      <c r="F36" s="244">
        <v>454</v>
      </c>
      <c r="G36" s="42"/>
      <c r="H36" s="42">
        <v>391</v>
      </c>
      <c r="I36" s="244">
        <v>420</v>
      </c>
      <c r="J36" s="42"/>
      <c r="K36" s="42">
        <v>392</v>
      </c>
      <c r="L36" s="42"/>
      <c r="M36" s="102">
        <f t="shared" si="4"/>
        <v>2503</v>
      </c>
      <c r="N36" s="100">
        <v>5</v>
      </c>
      <c r="O36" s="100">
        <v>3</v>
      </c>
      <c r="P36" s="100">
        <v>63</v>
      </c>
      <c r="Q36" s="100">
        <v>2</v>
      </c>
      <c r="R36" s="104">
        <v>1</v>
      </c>
    </row>
    <row r="37" spans="1:20" s="114" customFormat="1" ht="15.75">
      <c r="A37" s="26" t="s">
        <v>159</v>
      </c>
      <c r="B37" s="57" t="s">
        <v>196</v>
      </c>
      <c r="C37" s="243">
        <v>432</v>
      </c>
      <c r="D37" s="43"/>
      <c r="E37" s="43"/>
      <c r="F37" s="243">
        <v>445</v>
      </c>
      <c r="G37" s="43"/>
      <c r="H37" s="43"/>
      <c r="I37" s="43">
        <v>405</v>
      </c>
      <c r="J37" s="43">
        <v>312</v>
      </c>
      <c r="K37" s="243">
        <v>414</v>
      </c>
      <c r="L37" s="43">
        <v>390</v>
      </c>
      <c r="M37" s="112">
        <f t="shared" si="4"/>
        <v>2398</v>
      </c>
      <c r="N37" s="110">
        <v>3</v>
      </c>
      <c r="O37" s="110">
        <v>5</v>
      </c>
      <c r="P37" s="110">
        <v>-2</v>
      </c>
      <c r="Q37" s="110">
        <v>0</v>
      </c>
      <c r="T37" s="114">
        <v>1</v>
      </c>
    </row>
    <row r="38" spans="1:18" s="23" customFormat="1" ht="15.75">
      <c r="A38" s="145" t="s">
        <v>160</v>
      </c>
      <c r="B38" s="153" t="s">
        <v>19</v>
      </c>
      <c r="C38" s="257">
        <v>423</v>
      </c>
      <c r="D38" s="257">
        <v>435</v>
      </c>
      <c r="E38" s="146"/>
      <c r="F38" s="257">
        <v>417</v>
      </c>
      <c r="G38" s="146">
        <v>187</v>
      </c>
      <c r="H38" s="146"/>
      <c r="I38" s="146">
        <v>403</v>
      </c>
      <c r="J38" s="146"/>
      <c r="K38" s="257">
        <v>429</v>
      </c>
      <c r="L38" s="146">
        <v>230</v>
      </c>
      <c r="M38" s="69">
        <f t="shared" si="4"/>
        <v>2524</v>
      </c>
      <c r="N38" s="19">
        <v>6</v>
      </c>
      <c r="O38" s="19">
        <v>2</v>
      </c>
      <c r="P38" s="19">
        <f>M38-2432</f>
        <v>92</v>
      </c>
      <c r="Q38" s="19">
        <v>2</v>
      </c>
      <c r="R38" s="23">
        <v>1</v>
      </c>
    </row>
    <row r="39" spans="1:20" s="114" customFormat="1" ht="15.75">
      <c r="A39" s="26" t="s">
        <v>161</v>
      </c>
      <c r="B39" s="57" t="s">
        <v>24</v>
      </c>
      <c r="C39" s="243">
        <v>429</v>
      </c>
      <c r="D39" s="43">
        <v>410</v>
      </c>
      <c r="E39" s="43"/>
      <c r="F39" s="43">
        <v>405</v>
      </c>
      <c r="G39" s="43"/>
      <c r="H39" s="43"/>
      <c r="I39" s="243">
        <v>438</v>
      </c>
      <c r="J39" s="43"/>
      <c r="K39" s="43">
        <v>386</v>
      </c>
      <c r="L39" s="43">
        <v>389</v>
      </c>
      <c r="M39" s="112">
        <f t="shared" si="4"/>
        <v>2457</v>
      </c>
      <c r="N39" s="110">
        <v>2</v>
      </c>
      <c r="O39" s="110">
        <v>6</v>
      </c>
      <c r="P39" s="110">
        <v>-118</v>
      </c>
      <c r="Q39" s="110">
        <v>0</v>
      </c>
      <c r="T39" s="114">
        <v>1</v>
      </c>
    </row>
    <row r="40" spans="1:20" s="104" customFormat="1" ht="15.75">
      <c r="A40" s="19" t="s">
        <v>162</v>
      </c>
      <c r="B40" s="137" t="s">
        <v>17</v>
      </c>
      <c r="C40" s="244">
        <v>433</v>
      </c>
      <c r="D40" s="244">
        <v>445</v>
      </c>
      <c r="E40" s="42"/>
      <c r="F40" s="42">
        <v>400</v>
      </c>
      <c r="G40" s="42">
        <v>416</v>
      </c>
      <c r="H40" s="42"/>
      <c r="I40" s="244">
        <v>444</v>
      </c>
      <c r="J40" s="42"/>
      <c r="K40" s="42">
        <v>416</v>
      </c>
      <c r="L40" s="42"/>
      <c r="M40" s="102">
        <f t="shared" si="4"/>
        <v>2554</v>
      </c>
      <c r="N40" s="100">
        <v>3</v>
      </c>
      <c r="O40" s="100">
        <v>5</v>
      </c>
      <c r="P40" s="100">
        <v>-11</v>
      </c>
      <c r="Q40" s="100">
        <v>0</v>
      </c>
      <c r="T40" s="104">
        <v>1</v>
      </c>
    </row>
    <row r="41" spans="1:18" s="114" customFormat="1" ht="15.75">
      <c r="A41" s="26" t="s">
        <v>163</v>
      </c>
      <c r="B41" s="57" t="s">
        <v>15</v>
      </c>
      <c r="C41" s="243">
        <v>422</v>
      </c>
      <c r="D41" s="43">
        <v>397</v>
      </c>
      <c r="E41" s="43"/>
      <c r="F41" s="243">
        <v>458</v>
      </c>
      <c r="G41" s="243">
        <v>413</v>
      </c>
      <c r="H41" s="43"/>
      <c r="I41" s="43">
        <v>397</v>
      </c>
      <c r="J41" s="43"/>
      <c r="K41" s="243">
        <v>411</v>
      </c>
      <c r="L41" s="43"/>
      <c r="M41" s="112">
        <f t="shared" si="4"/>
        <v>2498</v>
      </c>
      <c r="N41" s="110">
        <v>6</v>
      </c>
      <c r="O41" s="110">
        <v>2</v>
      </c>
      <c r="P41" s="110">
        <v>49</v>
      </c>
      <c r="Q41" s="110">
        <v>2</v>
      </c>
      <c r="R41" s="114">
        <v>1</v>
      </c>
    </row>
    <row r="42" spans="1:20" s="23" customFormat="1" ht="15.75">
      <c r="A42" s="145" t="s">
        <v>164</v>
      </c>
      <c r="B42" s="153" t="s">
        <v>263</v>
      </c>
      <c r="C42" s="146">
        <v>396</v>
      </c>
      <c r="D42" s="257">
        <v>458</v>
      </c>
      <c r="E42" s="146"/>
      <c r="F42" s="257">
        <v>440</v>
      </c>
      <c r="G42" s="146">
        <v>389</v>
      </c>
      <c r="H42" s="146"/>
      <c r="I42" s="146">
        <v>409</v>
      </c>
      <c r="J42" s="146"/>
      <c r="K42" s="257">
        <v>415</v>
      </c>
      <c r="L42" s="146"/>
      <c r="M42" s="69">
        <f t="shared" si="4"/>
        <v>2507</v>
      </c>
      <c r="N42" s="19">
        <v>3</v>
      </c>
      <c r="O42" s="19">
        <v>5</v>
      </c>
      <c r="P42" s="19">
        <v>-26</v>
      </c>
      <c r="Q42" s="19">
        <v>0</v>
      </c>
      <c r="T42" s="23">
        <v>1</v>
      </c>
    </row>
    <row r="43" spans="1:18" s="114" customFormat="1" ht="15.75">
      <c r="A43" s="26" t="s">
        <v>165</v>
      </c>
      <c r="B43" s="57" t="s">
        <v>23</v>
      </c>
      <c r="C43" s="43">
        <v>425</v>
      </c>
      <c r="D43" s="243">
        <v>435</v>
      </c>
      <c r="E43" s="43"/>
      <c r="F43" s="243">
        <v>467</v>
      </c>
      <c r="G43" s="43"/>
      <c r="H43" s="43"/>
      <c r="I43" s="243">
        <v>432</v>
      </c>
      <c r="J43" s="43"/>
      <c r="K43" s="43">
        <v>391</v>
      </c>
      <c r="L43" s="43">
        <v>425</v>
      </c>
      <c r="M43" s="112">
        <f t="shared" si="4"/>
        <v>2575</v>
      </c>
      <c r="N43" s="110">
        <v>5</v>
      </c>
      <c r="O43" s="110">
        <v>3</v>
      </c>
      <c r="P43" s="110">
        <v>15</v>
      </c>
      <c r="Q43" s="110">
        <v>2</v>
      </c>
      <c r="R43" s="114">
        <v>1</v>
      </c>
    </row>
    <row r="44" spans="1:18" s="148" customFormat="1" ht="15.75">
      <c r="A44" s="100" t="s">
        <v>265</v>
      </c>
      <c r="B44" s="121" t="s">
        <v>260</v>
      </c>
      <c r="C44" s="258">
        <v>458</v>
      </c>
      <c r="D44" s="258">
        <v>422</v>
      </c>
      <c r="E44" s="120"/>
      <c r="F44" s="258">
        <v>432</v>
      </c>
      <c r="G44" s="120"/>
      <c r="H44" s="120"/>
      <c r="I44" s="120">
        <v>420</v>
      </c>
      <c r="J44" s="120"/>
      <c r="K44" s="258">
        <v>428</v>
      </c>
      <c r="L44" s="120">
        <v>414</v>
      </c>
      <c r="M44" s="147">
        <f t="shared" si="4"/>
        <v>2574</v>
      </c>
      <c r="N44" s="145">
        <v>6</v>
      </c>
      <c r="O44" s="145">
        <v>2</v>
      </c>
      <c r="P44" s="145">
        <f>M44-2480</f>
        <v>94</v>
      </c>
      <c r="Q44" s="145">
        <v>2</v>
      </c>
      <c r="R44" s="148">
        <v>1</v>
      </c>
    </row>
    <row r="45" spans="1:18" s="114" customFormat="1" ht="15.75">
      <c r="A45" s="26" t="s">
        <v>266</v>
      </c>
      <c r="B45" s="57" t="s">
        <v>209</v>
      </c>
      <c r="C45" s="243">
        <v>404</v>
      </c>
      <c r="D45" s="337">
        <v>408</v>
      </c>
      <c r="E45" s="43"/>
      <c r="F45" s="243">
        <v>398</v>
      </c>
      <c r="G45" s="43">
        <v>359</v>
      </c>
      <c r="H45" s="43">
        <v>368</v>
      </c>
      <c r="I45" s="43">
        <v>379</v>
      </c>
      <c r="J45" s="43"/>
      <c r="K45" s="43"/>
      <c r="L45" s="43"/>
      <c r="M45" s="112">
        <f t="shared" si="4"/>
        <v>2316</v>
      </c>
      <c r="N45" s="110">
        <v>5</v>
      </c>
      <c r="O45" s="110">
        <v>3</v>
      </c>
      <c r="P45" s="110">
        <f>M45-2273</f>
        <v>43</v>
      </c>
      <c r="Q45" s="110">
        <v>2</v>
      </c>
      <c r="R45" s="114">
        <v>1</v>
      </c>
    </row>
    <row r="46" spans="1:18" s="104" customFormat="1" ht="15.75">
      <c r="A46" s="19" t="s">
        <v>303</v>
      </c>
      <c r="B46" s="137" t="s">
        <v>16</v>
      </c>
      <c r="C46" s="345">
        <v>452</v>
      </c>
      <c r="D46" s="345">
        <v>454</v>
      </c>
      <c r="E46" s="42"/>
      <c r="F46" s="42">
        <v>424</v>
      </c>
      <c r="G46" s="42">
        <v>395</v>
      </c>
      <c r="H46" s="42"/>
      <c r="I46" s="345">
        <v>442</v>
      </c>
      <c r="J46" s="42"/>
      <c r="K46" s="42">
        <v>405</v>
      </c>
      <c r="L46" s="42"/>
      <c r="M46" s="102">
        <f t="shared" si="4"/>
        <v>2572</v>
      </c>
      <c r="N46" s="100">
        <v>5</v>
      </c>
      <c r="O46" s="100">
        <v>3</v>
      </c>
      <c r="P46" s="100">
        <v>38</v>
      </c>
      <c r="Q46" s="100">
        <v>2</v>
      </c>
      <c r="R46" s="104">
        <v>1</v>
      </c>
    </row>
    <row r="47" spans="1:20" s="114" customFormat="1" ht="16.5" thickBot="1">
      <c r="A47" s="26" t="s">
        <v>304</v>
      </c>
      <c r="B47" s="57" t="s">
        <v>205</v>
      </c>
      <c r="C47" s="45">
        <v>409</v>
      </c>
      <c r="D47" s="363">
        <v>454</v>
      </c>
      <c r="E47" s="45"/>
      <c r="F47" s="363">
        <v>436</v>
      </c>
      <c r="G47" s="45"/>
      <c r="H47" s="45">
        <v>388</v>
      </c>
      <c r="I47" s="363">
        <v>428</v>
      </c>
      <c r="J47" s="45"/>
      <c r="K47" s="45"/>
      <c r="L47" s="45">
        <v>383</v>
      </c>
      <c r="M47" s="112">
        <f t="shared" si="4"/>
        <v>2498</v>
      </c>
      <c r="N47" s="116">
        <v>5</v>
      </c>
      <c r="O47" s="116">
        <v>3</v>
      </c>
      <c r="P47" s="116">
        <f>M47-2477</f>
        <v>21</v>
      </c>
      <c r="Q47" s="116">
        <v>2</v>
      </c>
      <c r="R47" s="126">
        <v>1</v>
      </c>
      <c r="S47" s="126"/>
      <c r="T47" s="126"/>
    </row>
    <row r="48" spans="3:20" ht="16.5" thickTop="1">
      <c r="C48" s="7">
        <f>SUM(C31:C47)</f>
        <v>6909</v>
      </c>
      <c r="D48" s="7">
        <f aca="true" t="shared" si="5" ref="D48:K48">SUM(D31:D47)</f>
        <v>6314</v>
      </c>
      <c r="E48" s="7">
        <f t="shared" si="5"/>
        <v>0</v>
      </c>
      <c r="F48" s="7">
        <f t="shared" si="5"/>
        <v>6829</v>
      </c>
      <c r="G48" s="7">
        <f>SUM(G31:G37)+SUM(G39:G47)</f>
        <v>3196</v>
      </c>
      <c r="H48" s="7">
        <f>SUM(H31:H45)</f>
        <v>759</v>
      </c>
      <c r="I48" s="7">
        <f>SUM(I31:I47)</f>
        <v>6751</v>
      </c>
      <c r="J48" s="7">
        <f t="shared" si="5"/>
        <v>312</v>
      </c>
      <c r="K48" s="7">
        <f t="shared" si="5"/>
        <v>5817</v>
      </c>
      <c r="L48" s="7">
        <f>SUM(L31:L37)+SUM(L39:L47)</f>
        <v>2413</v>
      </c>
      <c r="N48" s="1">
        <f>SUM(N31:N47)</f>
        <v>69</v>
      </c>
      <c r="O48" s="1">
        <f>SUM(O31:O47)</f>
        <v>59</v>
      </c>
      <c r="P48" s="1">
        <f>SUM(P31:P47)</f>
        <v>249</v>
      </c>
      <c r="Q48" s="1">
        <f>SUM(Q31:Q47)</f>
        <v>20</v>
      </c>
      <c r="R48" s="1">
        <f>SUM(R31:R47)+R23</f>
        <v>17</v>
      </c>
      <c r="S48" s="1">
        <f>SUM(S31:S47)+S23</f>
        <v>0</v>
      </c>
      <c r="T48" s="1">
        <f>SUM(T31:T47)+T23</f>
        <v>15</v>
      </c>
    </row>
    <row r="49" spans="2:12" ht="31.5">
      <c r="B49" s="67" t="s">
        <v>251</v>
      </c>
      <c r="C49" s="1">
        <f>COUNT(C31:C47)</f>
        <v>16</v>
      </c>
      <c r="D49" s="1">
        <f aca="true" t="shared" si="6" ref="D49:K49">COUNT(D31:D47)</f>
        <v>15</v>
      </c>
      <c r="E49" s="1">
        <f t="shared" si="6"/>
        <v>0</v>
      </c>
      <c r="F49" s="1">
        <f t="shared" si="6"/>
        <v>16</v>
      </c>
      <c r="G49" s="1">
        <f>COUNT(G31:G37)+COUNT(G39:G47)</f>
        <v>8</v>
      </c>
      <c r="H49" s="1">
        <f>COUNT(H31:H45)</f>
        <v>2</v>
      </c>
      <c r="I49" s="1">
        <f t="shared" si="6"/>
        <v>16</v>
      </c>
      <c r="J49" s="1">
        <f t="shared" si="6"/>
        <v>1</v>
      </c>
      <c r="K49" s="1">
        <f t="shared" si="6"/>
        <v>14</v>
      </c>
      <c r="L49" s="1">
        <f>COUNT(L31:L37)+COUNT(L39:L47)</f>
        <v>6</v>
      </c>
    </row>
    <row r="50" spans="2:20" ht="31.5">
      <c r="B50" s="11" t="s">
        <v>247</v>
      </c>
      <c r="C50" s="16">
        <f>C48/C49</f>
        <v>431.8125</v>
      </c>
      <c r="D50" s="16">
        <f aca="true" t="shared" si="7" ref="D50:L50">D48/D49</f>
        <v>420.93333333333334</v>
      </c>
      <c r="E50" s="16"/>
      <c r="F50" s="16">
        <f t="shared" si="7"/>
        <v>426.8125</v>
      </c>
      <c r="G50" s="16">
        <f t="shared" si="7"/>
        <v>399.5</v>
      </c>
      <c r="H50" s="16">
        <f t="shared" si="7"/>
        <v>379.5</v>
      </c>
      <c r="I50" s="16">
        <f t="shared" si="7"/>
        <v>421.9375</v>
      </c>
      <c r="J50" s="16">
        <f t="shared" si="7"/>
        <v>312</v>
      </c>
      <c r="K50" s="16">
        <f t="shared" si="7"/>
        <v>415.5</v>
      </c>
      <c r="L50" s="16">
        <f t="shared" si="7"/>
        <v>402.1666666666667</v>
      </c>
      <c r="M50" s="3" t="s">
        <v>30</v>
      </c>
      <c r="N50" s="371" t="s">
        <v>115</v>
      </c>
      <c r="O50" s="371"/>
      <c r="P50" s="3" t="s">
        <v>31</v>
      </c>
      <c r="Q50" s="10" t="s">
        <v>116</v>
      </c>
      <c r="S50" s="74" t="s">
        <v>126</v>
      </c>
      <c r="T50" s="74" t="s">
        <v>223</v>
      </c>
    </row>
    <row r="51" spans="13:20" ht="15.75">
      <c r="M51" s="6">
        <f>SUM(M31:M47)+M26</f>
        <v>79686</v>
      </c>
      <c r="N51" s="6">
        <f>SUM(N31:N47)+N26</f>
        <v>129</v>
      </c>
      <c r="O51" s="6">
        <f>SUM(O31:O47)+O26</f>
        <v>127</v>
      </c>
      <c r="P51" s="6">
        <f>SUM(P31:P47)+P26</f>
        <v>-79</v>
      </c>
      <c r="Q51" s="6">
        <f>SUM(Q31:Q47)+Q26</f>
        <v>34</v>
      </c>
      <c r="S51" s="2">
        <f>N51-O51</f>
        <v>2</v>
      </c>
      <c r="T51" s="2">
        <f>SUM(R48:T48)</f>
        <v>32</v>
      </c>
    </row>
    <row r="53" spans="13:14" ht="15.75">
      <c r="M53" s="1" t="s">
        <v>128</v>
      </c>
      <c r="N53" s="18">
        <f>M51/T51</f>
        <v>2490.1875</v>
      </c>
    </row>
  </sheetData>
  <sheetProtection/>
  <mergeCells count="11">
    <mergeCell ref="F1:G1"/>
    <mergeCell ref="I1:J1"/>
    <mergeCell ref="L1:M1"/>
    <mergeCell ref="L2:M2"/>
    <mergeCell ref="N50:O50"/>
    <mergeCell ref="I27:J27"/>
    <mergeCell ref="C4:L4"/>
    <mergeCell ref="N4:O4"/>
    <mergeCell ref="C27:D27"/>
    <mergeCell ref="N25:O25"/>
    <mergeCell ref="F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B28">
      <selection activeCell="E47" sqref="D47:E47"/>
    </sheetView>
  </sheetViews>
  <sheetFormatPr defaultColWidth="9.00390625" defaultRowHeight="12.75"/>
  <cols>
    <col min="1" max="1" width="11.25390625" style="1" bestFit="1" customWidth="1"/>
    <col min="2" max="2" width="15.25390625" style="1" customWidth="1"/>
    <col min="3" max="3" width="10.625" style="1" customWidth="1"/>
    <col min="4" max="7" width="9.125" style="1" customWidth="1"/>
    <col min="8" max="8" width="9.75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9.125" style="1" customWidth="1"/>
    <col min="13" max="13" width="17.75390625" style="1" bestFit="1" customWidth="1"/>
    <col min="14" max="14" width="11.00390625" style="1" customWidth="1"/>
    <col min="15" max="15" width="10.375" style="1" customWidth="1"/>
    <col min="16" max="16" width="13.375" style="1" customWidth="1"/>
    <col min="17" max="17" width="13.00390625" style="1" customWidth="1"/>
    <col min="18" max="18" width="10.125" style="0" bestFit="1" customWidth="1"/>
    <col min="19" max="19" width="10.375" style="0" customWidth="1"/>
    <col min="20" max="20" width="11.625" style="0" customWidth="1"/>
  </cols>
  <sheetData>
    <row r="1" spans="1:14" ht="15.75">
      <c r="A1" s="58" t="s">
        <v>141</v>
      </c>
      <c r="B1" s="59"/>
      <c r="C1" s="59" t="s">
        <v>144</v>
      </c>
      <c r="D1" s="59" t="s">
        <v>139</v>
      </c>
      <c r="E1" s="372" t="s">
        <v>140</v>
      </c>
      <c r="F1" s="372"/>
      <c r="H1" s="368" t="s">
        <v>151</v>
      </c>
      <c r="I1" s="368"/>
      <c r="J1" s="11" t="s">
        <v>152</v>
      </c>
      <c r="K1" s="368" t="s">
        <v>126</v>
      </c>
      <c r="L1" s="368"/>
      <c r="M1" s="1" t="s">
        <v>128</v>
      </c>
      <c r="N1" s="18">
        <f>M26/T26</f>
        <v>2492</v>
      </c>
    </row>
    <row r="2" spans="8:14" ht="15.75">
      <c r="H2" s="1">
        <f>N26+N48</f>
        <v>122</v>
      </c>
      <c r="I2" s="1">
        <f>O26+O48</f>
        <v>134</v>
      </c>
      <c r="J2" s="1">
        <f>Q26+Q48</f>
        <v>31</v>
      </c>
      <c r="K2" s="374">
        <f>H2-I2</f>
        <v>-12</v>
      </c>
      <c r="L2" s="374"/>
      <c r="M2" s="1" t="s">
        <v>234</v>
      </c>
      <c r="N2" s="6">
        <f>M6+M8+M11+M13+M15+M17+M19+M21</f>
        <v>19952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2.25" thickBot="1">
      <c r="B5" s="3" t="s">
        <v>25</v>
      </c>
      <c r="C5" s="8" t="s">
        <v>54</v>
      </c>
      <c r="D5" s="8" t="s">
        <v>55</v>
      </c>
      <c r="E5" s="8" t="s">
        <v>56</v>
      </c>
      <c r="F5" s="8" t="s">
        <v>57</v>
      </c>
      <c r="G5" s="8" t="s">
        <v>58</v>
      </c>
      <c r="H5" s="8" t="s">
        <v>59</v>
      </c>
      <c r="I5" s="8" t="s">
        <v>120</v>
      </c>
      <c r="J5" s="8" t="s">
        <v>254</v>
      </c>
      <c r="K5" s="8" t="s">
        <v>271</v>
      </c>
      <c r="L5" s="8" t="s">
        <v>294</v>
      </c>
      <c r="M5" s="3" t="s">
        <v>30</v>
      </c>
      <c r="N5" s="3" t="s">
        <v>21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260</v>
      </c>
      <c r="C6" s="57">
        <v>395</v>
      </c>
      <c r="D6" s="251">
        <v>452</v>
      </c>
      <c r="E6" s="47">
        <v>377</v>
      </c>
      <c r="F6" s="47">
        <v>376</v>
      </c>
      <c r="G6" s="47">
        <v>413</v>
      </c>
      <c r="H6" s="47"/>
      <c r="I6" s="47">
        <v>415</v>
      </c>
      <c r="J6" s="47"/>
      <c r="K6" s="47"/>
      <c r="L6" s="210"/>
      <c r="M6" s="109">
        <f>SUM(C6:L6)</f>
        <v>2428</v>
      </c>
      <c r="N6" s="110">
        <v>1</v>
      </c>
      <c r="O6" s="110">
        <v>7</v>
      </c>
      <c r="P6" s="109">
        <f>M6-2668</f>
        <v>-240</v>
      </c>
      <c r="Q6" s="110">
        <v>0</v>
      </c>
      <c r="R6" s="113"/>
      <c r="S6" s="113"/>
      <c r="T6" s="113">
        <v>1</v>
      </c>
    </row>
    <row r="7" spans="1:20" s="104" customFormat="1" ht="15.75">
      <c r="A7" s="19" t="s">
        <v>1</v>
      </c>
      <c r="B7" s="137" t="s">
        <v>209</v>
      </c>
      <c r="C7" s="244">
        <v>455</v>
      </c>
      <c r="D7" s="244">
        <v>431</v>
      </c>
      <c r="E7" s="244">
        <v>450</v>
      </c>
      <c r="F7" s="249">
        <v>433</v>
      </c>
      <c r="G7" s="44">
        <v>416</v>
      </c>
      <c r="H7" s="44"/>
      <c r="I7" s="44">
        <v>384</v>
      </c>
      <c r="J7" s="44"/>
      <c r="K7" s="44"/>
      <c r="L7" s="35"/>
      <c r="M7" s="154">
        <f>SUM(C7:L7)</f>
        <v>2569</v>
      </c>
      <c r="N7" s="100">
        <v>6</v>
      </c>
      <c r="O7" s="100">
        <v>2</v>
      </c>
      <c r="P7" s="154">
        <f>M7-2515</f>
        <v>54</v>
      </c>
      <c r="Q7" s="100">
        <v>2</v>
      </c>
      <c r="R7" s="103">
        <v>1</v>
      </c>
      <c r="S7" s="103"/>
      <c r="T7" s="103"/>
    </row>
    <row r="8" spans="1:20" s="114" customFormat="1" ht="15.75">
      <c r="A8" s="26" t="s">
        <v>2</v>
      </c>
      <c r="B8" s="57" t="s">
        <v>16</v>
      </c>
      <c r="C8" s="57">
        <v>388</v>
      </c>
      <c r="D8" s="43">
        <v>397</v>
      </c>
      <c r="E8" s="243">
        <v>406</v>
      </c>
      <c r="F8" s="251">
        <v>440</v>
      </c>
      <c r="G8" s="47"/>
      <c r="H8" s="47"/>
      <c r="I8" s="47">
        <v>402</v>
      </c>
      <c r="J8" s="47"/>
      <c r="K8" s="47"/>
      <c r="L8" s="250">
        <v>438</v>
      </c>
      <c r="M8" s="109">
        <f>SUM(C8:L8)</f>
        <v>2471</v>
      </c>
      <c r="N8" s="110">
        <v>3</v>
      </c>
      <c r="O8" s="110">
        <v>5</v>
      </c>
      <c r="P8" s="110">
        <v>-97</v>
      </c>
      <c r="Q8" s="110">
        <v>0</v>
      </c>
      <c r="R8" s="113"/>
      <c r="S8" s="113"/>
      <c r="T8" s="113">
        <v>1</v>
      </c>
    </row>
    <row r="9" spans="1:20" s="23" customFormat="1" ht="15.75">
      <c r="A9" s="145" t="s">
        <v>3</v>
      </c>
      <c r="B9" s="153" t="s">
        <v>205</v>
      </c>
      <c r="C9" s="160">
        <v>399</v>
      </c>
      <c r="D9" s="257">
        <v>436</v>
      </c>
      <c r="E9" s="257">
        <v>416</v>
      </c>
      <c r="F9" s="160">
        <v>401</v>
      </c>
      <c r="G9" s="160">
        <v>410</v>
      </c>
      <c r="H9" s="160"/>
      <c r="I9" s="262">
        <v>411</v>
      </c>
      <c r="J9" s="160"/>
      <c r="K9" s="160"/>
      <c r="L9" s="165"/>
      <c r="M9" s="21">
        <f>SUM(C9:L9)</f>
        <v>2473</v>
      </c>
      <c r="N9" s="19">
        <v>5</v>
      </c>
      <c r="O9" s="19">
        <v>3</v>
      </c>
      <c r="P9" s="19">
        <v>2</v>
      </c>
      <c r="Q9" s="19">
        <v>2</v>
      </c>
      <c r="R9" s="22">
        <v>1</v>
      </c>
      <c r="S9" s="22"/>
      <c r="T9" s="22"/>
    </row>
    <row r="10" spans="1:20" s="114" customFormat="1" ht="15.75">
      <c r="A10" s="26" t="s">
        <v>4</v>
      </c>
      <c r="B10" s="43" t="s">
        <v>255</v>
      </c>
      <c r="C10" s="201"/>
      <c r="D10" s="155"/>
      <c r="E10" s="155"/>
      <c r="F10" s="155"/>
      <c r="G10" s="155"/>
      <c r="H10" s="155"/>
      <c r="I10" s="155"/>
      <c r="J10" s="155"/>
      <c r="K10" s="155"/>
      <c r="L10" s="156"/>
      <c r="M10" s="109" t="s">
        <v>255</v>
      </c>
      <c r="N10" s="191"/>
      <c r="O10" s="191"/>
      <c r="P10" s="191"/>
      <c r="Q10" s="191"/>
      <c r="R10" s="193"/>
      <c r="S10" s="193"/>
      <c r="T10" s="193"/>
    </row>
    <row r="11" spans="1:20" s="114" customFormat="1" ht="15.75">
      <c r="A11" s="26" t="s">
        <v>5</v>
      </c>
      <c r="B11" s="47" t="s">
        <v>26</v>
      </c>
      <c r="C11" s="57"/>
      <c r="D11" s="43">
        <v>408</v>
      </c>
      <c r="E11" s="243">
        <v>451</v>
      </c>
      <c r="F11" s="251">
        <v>444</v>
      </c>
      <c r="G11" s="47">
        <v>432</v>
      </c>
      <c r="H11" s="47"/>
      <c r="I11" s="47">
        <v>434</v>
      </c>
      <c r="J11" s="47"/>
      <c r="K11" s="47"/>
      <c r="L11" s="39">
        <v>410</v>
      </c>
      <c r="M11" s="109">
        <f aca="true" t="shared" si="0" ref="M11:M22">SUM(C11:L11)</f>
        <v>2579</v>
      </c>
      <c r="N11" s="110">
        <v>2</v>
      </c>
      <c r="O11" s="110">
        <v>6</v>
      </c>
      <c r="P11" s="109">
        <f>M11-2631</f>
        <v>-52</v>
      </c>
      <c r="Q11" s="110">
        <v>0</v>
      </c>
      <c r="R11" s="113"/>
      <c r="S11" s="113"/>
      <c r="T11" s="113">
        <v>1</v>
      </c>
    </row>
    <row r="12" spans="1:20" s="148" customFormat="1" ht="15.75">
      <c r="A12" s="100" t="s">
        <v>6</v>
      </c>
      <c r="B12" s="120" t="s">
        <v>208</v>
      </c>
      <c r="C12" s="121">
        <v>419</v>
      </c>
      <c r="D12" s="120">
        <v>412</v>
      </c>
      <c r="E12" s="120">
        <v>397</v>
      </c>
      <c r="F12" s="129">
        <v>390</v>
      </c>
      <c r="G12" s="254">
        <v>425</v>
      </c>
      <c r="H12" s="129"/>
      <c r="I12" s="129">
        <v>394</v>
      </c>
      <c r="J12" s="129"/>
      <c r="K12" s="129"/>
      <c r="L12" s="157"/>
      <c r="M12" s="175">
        <f t="shared" si="0"/>
        <v>2437</v>
      </c>
      <c r="N12" s="145">
        <v>1</v>
      </c>
      <c r="O12" s="145">
        <v>7</v>
      </c>
      <c r="P12" s="175">
        <f>M12-2532</f>
        <v>-95</v>
      </c>
      <c r="Q12" s="145">
        <v>0</v>
      </c>
      <c r="R12" s="176"/>
      <c r="S12" s="176"/>
      <c r="T12" s="176">
        <v>1</v>
      </c>
    </row>
    <row r="13" spans="1:20" s="114" customFormat="1" ht="15.75">
      <c r="A13" s="26" t="s">
        <v>7</v>
      </c>
      <c r="B13" s="43" t="s">
        <v>210</v>
      </c>
      <c r="C13" s="243">
        <v>420</v>
      </c>
      <c r="D13" s="43">
        <v>402</v>
      </c>
      <c r="E13" s="243">
        <v>422</v>
      </c>
      <c r="F13" s="251">
        <v>425</v>
      </c>
      <c r="G13" s="47"/>
      <c r="H13" s="47"/>
      <c r="I13" s="251">
        <v>416</v>
      </c>
      <c r="J13" s="47"/>
      <c r="K13" s="47"/>
      <c r="L13" s="39">
        <v>403</v>
      </c>
      <c r="M13" s="109">
        <f t="shared" si="0"/>
        <v>2488</v>
      </c>
      <c r="N13" s="110">
        <v>4</v>
      </c>
      <c r="O13" s="110">
        <v>4</v>
      </c>
      <c r="P13" s="28">
        <v>-8</v>
      </c>
      <c r="Q13" s="110">
        <v>1</v>
      </c>
      <c r="R13" s="113"/>
      <c r="S13" s="113">
        <v>1</v>
      </c>
      <c r="T13" s="113"/>
    </row>
    <row r="14" spans="1:20" s="104" customFormat="1" ht="15.75">
      <c r="A14" s="19" t="s">
        <v>8</v>
      </c>
      <c r="B14" s="137" t="s">
        <v>20</v>
      </c>
      <c r="C14" s="244">
        <v>418</v>
      </c>
      <c r="D14" s="42"/>
      <c r="E14" s="42">
        <v>418</v>
      </c>
      <c r="F14" s="244">
        <v>441</v>
      </c>
      <c r="G14" s="42">
        <v>396</v>
      </c>
      <c r="H14" s="42"/>
      <c r="I14" s="42">
        <v>395</v>
      </c>
      <c r="J14" s="44"/>
      <c r="K14" s="44"/>
      <c r="L14" s="267">
        <v>427</v>
      </c>
      <c r="M14" s="154">
        <f t="shared" si="0"/>
        <v>2495</v>
      </c>
      <c r="N14" s="100">
        <v>5</v>
      </c>
      <c r="O14" s="100">
        <v>3</v>
      </c>
      <c r="P14" s="154">
        <f>M14-2419</f>
        <v>76</v>
      </c>
      <c r="Q14" s="100">
        <v>2</v>
      </c>
      <c r="R14" s="103">
        <v>1</v>
      </c>
      <c r="S14" s="103"/>
      <c r="T14" s="103"/>
    </row>
    <row r="15" spans="1:20" s="114" customFormat="1" ht="15.75">
      <c r="A15" s="26" t="s">
        <v>9</v>
      </c>
      <c r="B15" s="57" t="s">
        <v>22</v>
      </c>
      <c r="C15" s="243">
        <v>436</v>
      </c>
      <c r="D15" s="243">
        <v>415</v>
      </c>
      <c r="E15" s="243">
        <v>441</v>
      </c>
      <c r="F15" s="251">
        <v>434</v>
      </c>
      <c r="G15" s="47">
        <v>392</v>
      </c>
      <c r="H15" s="47"/>
      <c r="I15" s="47"/>
      <c r="J15" s="47"/>
      <c r="K15" s="47"/>
      <c r="L15" s="39">
        <v>406</v>
      </c>
      <c r="M15" s="109">
        <f t="shared" si="0"/>
        <v>2524</v>
      </c>
      <c r="N15" s="110">
        <v>6</v>
      </c>
      <c r="O15" s="110">
        <v>2</v>
      </c>
      <c r="P15" s="109">
        <f>M15-2446</f>
        <v>78</v>
      </c>
      <c r="Q15" s="110">
        <v>2</v>
      </c>
      <c r="R15" s="113">
        <v>1</v>
      </c>
      <c r="S15" s="113"/>
      <c r="T15" s="113"/>
    </row>
    <row r="16" spans="1:20" s="23" customFormat="1" ht="15.75">
      <c r="A16" s="145" t="s">
        <v>10</v>
      </c>
      <c r="B16" s="153" t="s">
        <v>196</v>
      </c>
      <c r="C16" s="153">
        <v>383</v>
      </c>
      <c r="D16" s="146">
        <v>385</v>
      </c>
      <c r="E16" s="146"/>
      <c r="F16" s="262">
        <v>421</v>
      </c>
      <c r="G16" s="262">
        <v>432</v>
      </c>
      <c r="H16" s="160"/>
      <c r="I16" s="262">
        <v>417</v>
      </c>
      <c r="J16" s="160"/>
      <c r="K16" s="160"/>
      <c r="L16" s="269">
        <v>415</v>
      </c>
      <c r="M16" s="21">
        <f t="shared" si="0"/>
        <v>2453</v>
      </c>
      <c r="N16" s="19">
        <v>6</v>
      </c>
      <c r="O16" s="19">
        <v>2</v>
      </c>
      <c r="P16" s="21">
        <v>26</v>
      </c>
      <c r="Q16" s="19">
        <v>2</v>
      </c>
      <c r="R16" s="22">
        <v>1</v>
      </c>
      <c r="S16" s="22"/>
      <c r="T16" s="22"/>
    </row>
    <row r="17" spans="1:20" s="114" customFormat="1" ht="15.75">
      <c r="A17" s="26" t="s">
        <v>11</v>
      </c>
      <c r="B17" s="57" t="s">
        <v>19</v>
      </c>
      <c r="C17" s="57">
        <v>400</v>
      </c>
      <c r="D17" s="43">
        <v>407</v>
      </c>
      <c r="E17" s="43">
        <v>389</v>
      </c>
      <c r="F17" s="47">
        <v>420</v>
      </c>
      <c r="G17" s="47">
        <v>401</v>
      </c>
      <c r="H17" s="47"/>
      <c r="I17" s="251">
        <v>439</v>
      </c>
      <c r="J17" s="47"/>
      <c r="K17" s="47"/>
      <c r="L17" s="39"/>
      <c r="M17" s="109">
        <f t="shared" si="0"/>
        <v>2456</v>
      </c>
      <c r="N17" s="110">
        <v>1</v>
      </c>
      <c r="O17" s="110">
        <v>7</v>
      </c>
      <c r="P17" s="109">
        <f>M17-2606</f>
        <v>-150</v>
      </c>
      <c r="Q17" s="110">
        <v>0</v>
      </c>
      <c r="R17" s="113"/>
      <c r="S17" s="113"/>
      <c r="T17" s="113">
        <v>1</v>
      </c>
    </row>
    <row r="18" spans="1:20" s="148" customFormat="1" ht="15.75">
      <c r="A18" s="100" t="s">
        <v>12</v>
      </c>
      <c r="B18" s="121" t="s">
        <v>24</v>
      </c>
      <c r="C18" s="258">
        <v>454</v>
      </c>
      <c r="D18" s="120">
        <v>385</v>
      </c>
      <c r="E18" s="120"/>
      <c r="F18" s="129">
        <v>405</v>
      </c>
      <c r="G18" s="129">
        <v>402</v>
      </c>
      <c r="H18" s="129"/>
      <c r="I18" s="254">
        <v>424</v>
      </c>
      <c r="J18" s="129"/>
      <c r="K18" s="129"/>
      <c r="L18" s="260">
        <v>435</v>
      </c>
      <c r="M18" s="175">
        <f t="shared" si="0"/>
        <v>2505</v>
      </c>
      <c r="N18" s="145">
        <v>5</v>
      </c>
      <c r="O18" s="145">
        <v>3</v>
      </c>
      <c r="P18" s="175">
        <v>7</v>
      </c>
      <c r="Q18" s="145">
        <v>2</v>
      </c>
      <c r="R18" s="176">
        <v>1</v>
      </c>
      <c r="S18" s="176"/>
      <c r="T18" s="176"/>
    </row>
    <row r="19" spans="1:20" s="114" customFormat="1" ht="15.75">
      <c r="A19" s="26" t="s">
        <v>13</v>
      </c>
      <c r="B19" s="57" t="s">
        <v>17</v>
      </c>
      <c r="C19" s="57">
        <v>401</v>
      </c>
      <c r="D19" s="43"/>
      <c r="E19" s="43">
        <v>406</v>
      </c>
      <c r="F19" s="251">
        <v>419</v>
      </c>
      <c r="G19" s="47">
        <v>403</v>
      </c>
      <c r="H19" s="47"/>
      <c r="I19" s="251">
        <v>407</v>
      </c>
      <c r="J19" s="47"/>
      <c r="K19" s="47"/>
      <c r="L19" s="39">
        <v>394</v>
      </c>
      <c r="M19" s="109">
        <f t="shared" si="0"/>
        <v>2430</v>
      </c>
      <c r="N19" s="110">
        <v>2</v>
      </c>
      <c r="O19" s="110">
        <v>6</v>
      </c>
      <c r="P19" s="109">
        <v>-27</v>
      </c>
      <c r="Q19" s="110">
        <v>0</v>
      </c>
      <c r="R19" s="113"/>
      <c r="S19" s="113"/>
      <c r="T19" s="113">
        <v>1</v>
      </c>
    </row>
    <row r="20" spans="1:20" s="104" customFormat="1" ht="15.75">
      <c r="A20" s="19" t="s">
        <v>14</v>
      </c>
      <c r="B20" s="137" t="s">
        <v>15</v>
      </c>
      <c r="C20" s="137">
        <v>396</v>
      </c>
      <c r="D20" s="42">
        <v>430</v>
      </c>
      <c r="E20" s="42">
        <v>392</v>
      </c>
      <c r="F20" s="249">
        <v>438</v>
      </c>
      <c r="G20" s="249">
        <v>442</v>
      </c>
      <c r="H20" s="44"/>
      <c r="I20" s="249">
        <v>451</v>
      </c>
      <c r="J20" s="44"/>
      <c r="K20" s="44"/>
      <c r="L20" s="35"/>
      <c r="M20" s="154">
        <f t="shared" si="0"/>
        <v>2549</v>
      </c>
      <c r="N20" s="100">
        <v>3</v>
      </c>
      <c r="O20" s="100">
        <v>5</v>
      </c>
      <c r="P20" s="154">
        <v>-11</v>
      </c>
      <c r="Q20" s="100">
        <v>0</v>
      </c>
      <c r="R20" s="103"/>
      <c r="S20" s="103"/>
      <c r="T20" s="103">
        <v>1</v>
      </c>
    </row>
    <row r="21" spans="1:20" s="114" customFormat="1" ht="15.75">
      <c r="A21" s="26" t="s">
        <v>261</v>
      </c>
      <c r="B21" s="57" t="s">
        <v>263</v>
      </c>
      <c r="C21" s="57">
        <v>408</v>
      </c>
      <c r="D21" s="243">
        <v>432</v>
      </c>
      <c r="E21" s="243">
        <v>461</v>
      </c>
      <c r="F21" s="47">
        <v>417</v>
      </c>
      <c r="G21" s="47"/>
      <c r="H21" s="47"/>
      <c r="I21" s="251">
        <v>424</v>
      </c>
      <c r="J21" s="47"/>
      <c r="K21" s="47"/>
      <c r="L21" s="250">
        <v>434</v>
      </c>
      <c r="M21" s="109">
        <f t="shared" si="0"/>
        <v>2576</v>
      </c>
      <c r="N21" s="110">
        <v>6</v>
      </c>
      <c r="O21" s="110">
        <v>2</v>
      </c>
      <c r="P21" s="109">
        <f>M21-2467</f>
        <v>109</v>
      </c>
      <c r="Q21" s="110">
        <v>2</v>
      </c>
      <c r="R21" s="113">
        <v>1</v>
      </c>
      <c r="S21" s="113"/>
      <c r="T21" s="113"/>
    </row>
    <row r="22" spans="1:20" s="23" customFormat="1" ht="16.5" thickBot="1">
      <c r="A22" s="145" t="s">
        <v>262</v>
      </c>
      <c r="B22" s="153" t="s">
        <v>23</v>
      </c>
      <c r="C22" s="169"/>
      <c r="D22" s="284">
        <v>451</v>
      </c>
      <c r="E22" s="170">
        <v>414</v>
      </c>
      <c r="F22" s="170">
        <v>384</v>
      </c>
      <c r="G22" s="284">
        <v>424</v>
      </c>
      <c r="H22" s="170"/>
      <c r="I22" s="170">
        <v>380</v>
      </c>
      <c r="J22" s="170"/>
      <c r="K22" s="170"/>
      <c r="L22" s="171">
        <v>386</v>
      </c>
      <c r="M22" s="48">
        <f t="shared" si="0"/>
        <v>2439</v>
      </c>
      <c r="N22" s="25">
        <v>2</v>
      </c>
      <c r="O22" s="25">
        <v>6</v>
      </c>
      <c r="P22" s="24">
        <f>M22-2536</f>
        <v>-97</v>
      </c>
      <c r="Q22" s="25">
        <v>0</v>
      </c>
      <c r="R22" s="76"/>
      <c r="S22" s="76"/>
      <c r="T22" s="76">
        <v>1</v>
      </c>
    </row>
    <row r="23" spans="3:20" ht="16.5" thickTop="1">
      <c r="C23" s="6">
        <f>SUM(C6:C22)</f>
        <v>5772</v>
      </c>
      <c r="D23" s="6">
        <f>SUM(D6:D22)</f>
        <v>5843</v>
      </c>
      <c r="E23" s="6">
        <f>SUM(E6:E22)</f>
        <v>5840</v>
      </c>
      <c r="F23" s="6">
        <f>SUM(F6:F22)</f>
        <v>6688</v>
      </c>
      <c r="G23" s="6">
        <f>SUM(G6:G15)+SUM(G16:G22)</f>
        <v>5388</v>
      </c>
      <c r="H23" s="6">
        <f>H16</f>
        <v>0</v>
      </c>
      <c r="I23" s="6">
        <f>SUM(I6:I9)+SUM(I10:I22)</f>
        <v>6193</v>
      </c>
      <c r="J23" s="6">
        <f>SUM(J6:J8)+SUM(J10:J22)</f>
        <v>0</v>
      </c>
      <c r="K23" s="6">
        <f>SUM(K6:K8)+SUM(K10:K22)</f>
        <v>0</v>
      </c>
      <c r="L23" s="6">
        <f>SUM(L6:L8)+SUM(L10:L22)</f>
        <v>4148</v>
      </c>
      <c r="R23" s="2">
        <f>SUM(R6:R22)</f>
        <v>7</v>
      </c>
      <c r="S23" s="2">
        <f>SUM(S6:S22)</f>
        <v>1</v>
      </c>
      <c r="T23" s="2">
        <f>SUM(T6:T22)</f>
        <v>8</v>
      </c>
    </row>
    <row r="24" spans="2:12" ht="15.75">
      <c r="B24" s="1" t="s">
        <v>225</v>
      </c>
      <c r="C24" s="6">
        <f>COUNT(C6:C22)</f>
        <v>14</v>
      </c>
      <c r="D24" s="6">
        <f>COUNT(D6:D22)</f>
        <v>14</v>
      </c>
      <c r="E24" s="6">
        <f>COUNT(E6:E22)</f>
        <v>14</v>
      </c>
      <c r="F24" s="6">
        <f>COUNT(F6:F22)</f>
        <v>16</v>
      </c>
      <c r="G24" s="6">
        <f>COUNT(G6:G15)+COUNT(G16:G22)</f>
        <v>13</v>
      </c>
      <c r="H24" s="6">
        <f>COUNT(H16)</f>
        <v>0</v>
      </c>
      <c r="I24" s="6">
        <f>COUNT(I6:I9)+COUNT(I10:I22)</f>
        <v>15</v>
      </c>
      <c r="J24" s="6">
        <f>COUNT(J6:J8)+COUNT(J10:J22)</f>
        <v>0</v>
      </c>
      <c r="K24" s="6">
        <f>COUNT(K6:K8)+COUNT(K10:K22)</f>
        <v>0</v>
      </c>
      <c r="L24" s="6">
        <f>COUNT(L6:L8)+COUNT(L10:L22)</f>
        <v>10</v>
      </c>
    </row>
    <row r="25" spans="2:20" ht="31.5">
      <c r="B25" s="11" t="s">
        <v>127</v>
      </c>
      <c r="C25" s="16">
        <f>AVERAGE(C6:C22)</f>
        <v>412.2857142857143</v>
      </c>
      <c r="D25" s="16">
        <f>AVERAGE(D6:D22)</f>
        <v>417.35714285714283</v>
      </c>
      <c r="E25" s="16">
        <f>AVERAGE(E6:E22)</f>
        <v>417.14285714285717</v>
      </c>
      <c r="F25" s="16">
        <f>AVERAGE(F6:F22)</f>
        <v>418</v>
      </c>
      <c r="G25" s="16">
        <f aca="true" t="shared" si="1" ref="G25:L25">G23/G24</f>
        <v>414.46153846153845</v>
      </c>
      <c r="H25" s="16"/>
      <c r="I25" s="16">
        <f t="shared" si="1"/>
        <v>412.8666666666667</v>
      </c>
      <c r="J25" s="16"/>
      <c r="K25" s="16"/>
      <c r="L25" s="16">
        <f t="shared" si="1"/>
        <v>414.8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39872</v>
      </c>
      <c r="N26" s="1">
        <f>SUM(N6:N22)</f>
        <v>58</v>
      </c>
      <c r="O26" s="1">
        <f>SUM(O6:O22)</f>
        <v>70</v>
      </c>
      <c r="P26" s="1">
        <f>SUM(P6:P22)</f>
        <v>-425</v>
      </c>
      <c r="Q26" s="1">
        <f>SUM(Q6:Q22)</f>
        <v>15</v>
      </c>
      <c r="S26" s="2">
        <f>N26-O26</f>
        <v>-12</v>
      </c>
      <c r="T26" s="2">
        <f>SUM(R23:T23)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20" ht="16.5" thickBot="1">
      <c r="A28" s="73"/>
      <c r="B28" s="73"/>
      <c r="C28" s="73"/>
      <c r="D28" s="73"/>
      <c r="E28" s="73"/>
      <c r="F28" s="23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26"/>
      <c r="S28" s="226"/>
      <c r="T28" s="226"/>
    </row>
    <row r="30" spans="2:20" ht="32.25" thickBot="1">
      <c r="B30" s="3" t="s">
        <v>25</v>
      </c>
      <c r="C30" s="8" t="s">
        <v>54</v>
      </c>
      <c r="D30" s="8" t="s">
        <v>55</v>
      </c>
      <c r="E30" s="8" t="s">
        <v>56</v>
      </c>
      <c r="F30" s="8" t="s">
        <v>57</v>
      </c>
      <c r="G30" s="8" t="s">
        <v>58</v>
      </c>
      <c r="H30" s="8" t="s">
        <v>59</v>
      </c>
      <c r="I30" s="8" t="s">
        <v>120</v>
      </c>
      <c r="J30" s="8" t="s">
        <v>254</v>
      </c>
      <c r="K30" s="8" t="s">
        <v>271</v>
      </c>
      <c r="L30" s="8" t="s">
        <v>294</v>
      </c>
      <c r="M30" s="3" t="s">
        <v>30</v>
      </c>
      <c r="N30" s="3" t="s">
        <v>21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18" s="30" customFormat="1" ht="15.75">
      <c r="A31" s="110" t="s">
        <v>153</v>
      </c>
      <c r="B31" s="123" t="s">
        <v>20</v>
      </c>
      <c r="C31" s="118">
        <v>396</v>
      </c>
      <c r="D31" s="255">
        <v>423</v>
      </c>
      <c r="E31" s="118">
        <v>398</v>
      </c>
      <c r="F31" s="255">
        <v>424</v>
      </c>
      <c r="G31" s="118"/>
      <c r="H31" s="118"/>
      <c r="I31" s="255">
        <v>469</v>
      </c>
      <c r="J31" s="118"/>
      <c r="K31" s="118"/>
      <c r="L31" s="255">
        <v>451</v>
      </c>
      <c r="M31" s="234">
        <f>SUM(C31:L31)</f>
        <v>2561</v>
      </c>
      <c r="N31" s="26">
        <v>6</v>
      </c>
      <c r="O31" s="26">
        <v>2</v>
      </c>
      <c r="P31" s="26">
        <v>82</v>
      </c>
      <c r="Q31" s="26">
        <v>2</v>
      </c>
      <c r="R31" s="30">
        <v>1</v>
      </c>
    </row>
    <row r="32" spans="1:18" s="23" customFormat="1" ht="15.75">
      <c r="A32" s="145" t="s">
        <v>154</v>
      </c>
      <c r="B32" s="153" t="s">
        <v>22</v>
      </c>
      <c r="C32" s="262">
        <v>427</v>
      </c>
      <c r="D32" s="262">
        <v>438</v>
      </c>
      <c r="E32" s="257">
        <v>452</v>
      </c>
      <c r="F32" s="160">
        <v>375</v>
      </c>
      <c r="G32" s="160"/>
      <c r="H32" s="160"/>
      <c r="I32" s="160">
        <v>393</v>
      </c>
      <c r="J32" s="146"/>
      <c r="K32" s="146"/>
      <c r="L32" s="257">
        <v>424</v>
      </c>
      <c r="M32" s="69">
        <f aca="true" t="shared" si="2" ref="M32:M47">SUM(C32:L32)</f>
        <v>2509</v>
      </c>
      <c r="N32" s="19">
        <v>6</v>
      </c>
      <c r="O32" s="19">
        <v>2</v>
      </c>
      <c r="P32" s="19">
        <v>70</v>
      </c>
      <c r="Q32" s="19">
        <v>2</v>
      </c>
      <c r="R32" s="23">
        <v>1</v>
      </c>
    </row>
    <row r="33" spans="1:18" s="30" customFormat="1" ht="15.75">
      <c r="A33" s="110" t="s">
        <v>155</v>
      </c>
      <c r="B33" s="123" t="s">
        <v>196</v>
      </c>
      <c r="C33" s="118"/>
      <c r="D33" s="255">
        <v>428</v>
      </c>
      <c r="E33" s="255">
        <v>449</v>
      </c>
      <c r="F33" s="118">
        <v>400</v>
      </c>
      <c r="G33" s="255">
        <v>415</v>
      </c>
      <c r="H33" s="118"/>
      <c r="I33" s="118">
        <v>403</v>
      </c>
      <c r="J33" s="118"/>
      <c r="K33" s="118"/>
      <c r="L33" s="255">
        <v>424</v>
      </c>
      <c r="M33" s="234">
        <f t="shared" si="2"/>
        <v>2519</v>
      </c>
      <c r="N33" s="26">
        <v>6</v>
      </c>
      <c r="O33" s="26">
        <v>2</v>
      </c>
      <c r="P33" s="26">
        <v>115</v>
      </c>
      <c r="Q33" s="26">
        <v>2</v>
      </c>
      <c r="R33" s="30">
        <v>1</v>
      </c>
    </row>
    <row r="34" spans="1:20" s="104" customFormat="1" ht="15.75">
      <c r="A34" s="19" t="s">
        <v>156</v>
      </c>
      <c r="B34" s="137" t="s">
        <v>19</v>
      </c>
      <c r="C34" s="42">
        <v>400</v>
      </c>
      <c r="D34" s="42">
        <v>368</v>
      </c>
      <c r="E34" s="42">
        <v>404</v>
      </c>
      <c r="F34" s="42"/>
      <c r="G34" s="244">
        <v>418</v>
      </c>
      <c r="H34" s="42"/>
      <c r="I34" s="42">
        <v>378</v>
      </c>
      <c r="J34" s="42"/>
      <c r="K34" s="42"/>
      <c r="L34" s="42">
        <v>383</v>
      </c>
      <c r="M34" s="102">
        <f t="shared" si="2"/>
        <v>2351</v>
      </c>
      <c r="N34" s="100">
        <v>1</v>
      </c>
      <c r="O34" s="100">
        <v>7</v>
      </c>
      <c r="P34" s="100">
        <v>-153</v>
      </c>
      <c r="Q34" s="100">
        <v>0</v>
      </c>
      <c r="T34" s="104">
        <v>1</v>
      </c>
    </row>
    <row r="35" spans="1:20" s="30" customFormat="1" ht="15.75">
      <c r="A35" s="110" t="s">
        <v>157</v>
      </c>
      <c r="B35" s="123" t="s">
        <v>24</v>
      </c>
      <c r="C35" s="255">
        <v>443</v>
      </c>
      <c r="D35" s="118"/>
      <c r="E35" s="255">
        <v>448</v>
      </c>
      <c r="F35" s="118">
        <v>396</v>
      </c>
      <c r="G35" s="118">
        <v>427</v>
      </c>
      <c r="H35" s="118"/>
      <c r="I35" s="118">
        <v>412</v>
      </c>
      <c r="J35" s="118"/>
      <c r="K35" s="118"/>
      <c r="L35" s="118">
        <v>406</v>
      </c>
      <c r="M35" s="234">
        <f t="shared" si="2"/>
        <v>2532</v>
      </c>
      <c r="N35" s="26">
        <v>2</v>
      </c>
      <c r="O35" s="26">
        <v>6</v>
      </c>
      <c r="P35" s="26">
        <v>-98</v>
      </c>
      <c r="Q35" s="26">
        <v>0</v>
      </c>
      <c r="T35" s="30">
        <v>1</v>
      </c>
    </row>
    <row r="36" spans="1:18" s="148" customFormat="1" ht="15.75">
      <c r="A36" s="100" t="s">
        <v>158</v>
      </c>
      <c r="B36" s="121" t="s">
        <v>17</v>
      </c>
      <c r="C36" s="120">
        <v>421</v>
      </c>
      <c r="D36" s="258">
        <v>445</v>
      </c>
      <c r="E36" s="258">
        <v>451</v>
      </c>
      <c r="F36" s="43"/>
      <c r="G36" s="120">
        <v>423</v>
      </c>
      <c r="H36" s="120"/>
      <c r="I36" s="120">
        <v>394</v>
      </c>
      <c r="J36" s="120"/>
      <c r="K36" s="120"/>
      <c r="L36" s="258">
        <v>433</v>
      </c>
      <c r="M36" s="147">
        <f t="shared" si="2"/>
        <v>2567</v>
      </c>
      <c r="N36" s="145">
        <v>5</v>
      </c>
      <c r="O36" s="145">
        <v>3</v>
      </c>
      <c r="P36" s="145">
        <f>M36-2523</f>
        <v>44</v>
      </c>
      <c r="Q36" s="145">
        <v>2</v>
      </c>
      <c r="R36" s="148">
        <v>1</v>
      </c>
    </row>
    <row r="37" spans="1:20" s="30" customFormat="1" ht="15.75">
      <c r="A37" s="110" t="s">
        <v>159</v>
      </c>
      <c r="B37" s="123" t="s">
        <v>15</v>
      </c>
      <c r="C37" s="255">
        <v>430</v>
      </c>
      <c r="D37" s="255">
        <v>426</v>
      </c>
      <c r="E37" s="255">
        <v>433</v>
      </c>
      <c r="F37" s="118">
        <v>392</v>
      </c>
      <c r="G37" s="118">
        <v>384</v>
      </c>
      <c r="H37" s="118"/>
      <c r="I37" s="118"/>
      <c r="J37" s="118"/>
      <c r="K37" s="118"/>
      <c r="L37" s="118">
        <v>406</v>
      </c>
      <c r="M37" s="234">
        <f t="shared" si="2"/>
        <v>2471</v>
      </c>
      <c r="N37" s="26">
        <v>3</v>
      </c>
      <c r="O37" s="26">
        <v>5</v>
      </c>
      <c r="P37" s="26">
        <f>M37-2585</f>
        <v>-114</v>
      </c>
      <c r="Q37" s="26">
        <v>0</v>
      </c>
      <c r="T37" s="30">
        <v>1</v>
      </c>
    </row>
    <row r="38" spans="1:20" s="23" customFormat="1" ht="15.75">
      <c r="A38" s="145" t="s">
        <v>160</v>
      </c>
      <c r="B38" s="153" t="s">
        <v>263</v>
      </c>
      <c r="C38" s="257">
        <v>432</v>
      </c>
      <c r="D38" s="146">
        <v>409</v>
      </c>
      <c r="E38" s="146">
        <v>409</v>
      </c>
      <c r="F38" s="146">
        <v>405</v>
      </c>
      <c r="G38" s="146"/>
      <c r="H38" s="146"/>
      <c r="I38" s="146">
        <v>386</v>
      </c>
      <c r="J38" s="146"/>
      <c r="K38" s="146"/>
      <c r="L38" s="257">
        <v>432</v>
      </c>
      <c r="M38" s="69">
        <f t="shared" si="2"/>
        <v>2473</v>
      </c>
      <c r="N38" s="19">
        <v>2</v>
      </c>
      <c r="O38" s="19">
        <v>6</v>
      </c>
      <c r="P38" s="19">
        <v>-31</v>
      </c>
      <c r="Q38" s="19">
        <v>0</v>
      </c>
      <c r="T38" s="23">
        <v>1</v>
      </c>
    </row>
    <row r="39" spans="1:18" s="30" customFormat="1" ht="15.75">
      <c r="A39" s="110" t="s">
        <v>161</v>
      </c>
      <c r="B39" s="123" t="s">
        <v>23</v>
      </c>
      <c r="C39" s="255">
        <v>449</v>
      </c>
      <c r="D39" s="255">
        <v>448</v>
      </c>
      <c r="E39" s="255">
        <v>434</v>
      </c>
      <c r="F39" s="255">
        <v>440</v>
      </c>
      <c r="G39" s="118"/>
      <c r="H39" s="255">
        <v>436</v>
      </c>
      <c r="I39" s="118"/>
      <c r="J39" s="118"/>
      <c r="K39" s="118"/>
      <c r="L39" s="118">
        <v>421</v>
      </c>
      <c r="M39" s="234">
        <f t="shared" si="2"/>
        <v>2628</v>
      </c>
      <c r="N39" s="26">
        <v>7</v>
      </c>
      <c r="O39" s="26">
        <v>1</v>
      </c>
      <c r="P39" s="26">
        <v>180</v>
      </c>
      <c r="Q39" s="26">
        <v>2</v>
      </c>
      <c r="R39" s="30">
        <v>1</v>
      </c>
    </row>
    <row r="40" spans="1:20" s="104" customFormat="1" ht="15.75">
      <c r="A40" s="19" t="s">
        <v>162</v>
      </c>
      <c r="B40" s="137" t="s">
        <v>260</v>
      </c>
      <c r="C40" s="42">
        <v>425</v>
      </c>
      <c r="D40" s="42">
        <v>396</v>
      </c>
      <c r="E40" s="244">
        <v>439</v>
      </c>
      <c r="F40" s="42">
        <v>377</v>
      </c>
      <c r="G40" s="42">
        <v>432</v>
      </c>
      <c r="H40" s="42">
        <v>419</v>
      </c>
      <c r="I40" s="42"/>
      <c r="J40" s="42"/>
      <c r="K40" s="42"/>
      <c r="L40" s="42"/>
      <c r="M40" s="102">
        <f t="shared" si="2"/>
        <v>2488</v>
      </c>
      <c r="N40" s="100">
        <v>1</v>
      </c>
      <c r="O40" s="100">
        <v>7</v>
      </c>
      <c r="P40" s="100">
        <v>-208</v>
      </c>
      <c r="Q40" s="100">
        <v>0</v>
      </c>
      <c r="T40" s="104">
        <v>1</v>
      </c>
    </row>
    <row r="41" spans="1:20" s="30" customFormat="1" ht="15.75">
      <c r="A41" s="110" t="s">
        <v>163</v>
      </c>
      <c r="B41" s="123" t="s">
        <v>209</v>
      </c>
      <c r="C41" s="118">
        <v>393</v>
      </c>
      <c r="D41" s="118">
        <v>374</v>
      </c>
      <c r="E41" s="255">
        <v>398</v>
      </c>
      <c r="F41" s="118"/>
      <c r="G41" s="255">
        <v>408</v>
      </c>
      <c r="H41" s="118">
        <v>358</v>
      </c>
      <c r="I41" s="118">
        <v>360</v>
      </c>
      <c r="J41" s="118"/>
      <c r="K41" s="118"/>
      <c r="L41" s="118"/>
      <c r="M41" s="234">
        <f t="shared" si="2"/>
        <v>2291</v>
      </c>
      <c r="N41" s="26">
        <v>2</v>
      </c>
      <c r="O41" s="26">
        <v>6</v>
      </c>
      <c r="P41" s="26">
        <f>M41-2388</f>
        <v>-97</v>
      </c>
      <c r="Q41" s="26">
        <v>0</v>
      </c>
      <c r="T41" s="30">
        <v>1</v>
      </c>
    </row>
    <row r="42" spans="1:20" s="148" customFormat="1" ht="15.75">
      <c r="A42" s="100" t="s">
        <v>164</v>
      </c>
      <c r="B42" s="121" t="s">
        <v>16</v>
      </c>
      <c r="C42" s="258">
        <v>440</v>
      </c>
      <c r="D42" s="120">
        <v>426</v>
      </c>
      <c r="E42" s="120">
        <v>415</v>
      </c>
      <c r="F42" s="120">
        <v>417</v>
      </c>
      <c r="G42" s="120">
        <v>394</v>
      </c>
      <c r="H42" s="120"/>
      <c r="I42" s="258">
        <v>451</v>
      </c>
      <c r="J42" s="120"/>
      <c r="K42" s="120"/>
      <c r="L42" s="120"/>
      <c r="M42" s="147">
        <f t="shared" si="2"/>
        <v>2543</v>
      </c>
      <c r="N42" s="145">
        <v>2</v>
      </c>
      <c r="O42" s="145">
        <v>6</v>
      </c>
      <c r="P42" s="145">
        <f>M42-2600</f>
        <v>-57</v>
      </c>
      <c r="Q42" s="145">
        <v>0</v>
      </c>
      <c r="T42" s="148">
        <v>1</v>
      </c>
    </row>
    <row r="43" spans="1:18" s="30" customFormat="1" ht="15.75">
      <c r="A43" s="110" t="s">
        <v>165</v>
      </c>
      <c r="B43" s="123" t="s">
        <v>205</v>
      </c>
      <c r="C43" s="255">
        <v>423</v>
      </c>
      <c r="D43" s="118">
        <v>422</v>
      </c>
      <c r="E43" s="255">
        <v>435</v>
      </c>
      <c r="F43" s="118"/>
      <c r="G43" s="118"/>
      <c r="H43" s="118">
        <v>377</v>
      </c>
      <c r="I43" s="255">
        <v>428</v>
      </c>
      <c r="J43" s="118"/>
      <c r="K43" s="118"/>
      <c r="L43" s="255">
        <v>424</v>
      </c>
      <c r="M43" s="234">
        <f t="shared" si="2"/>
        <v>2509</v>
      </c>
      <c r="N43" s="26">
        <v>6</v>
      </c>
      <c r="O43" s="26">
        <v>2</v>
      </c>
      <c r="P43" s="26">
        <v>11</v>
      </c>
      <c r="Q43" s="26">
        <v>2</v>
      </c>
      <c r="R43" s="30">
        <v>1</v>
      </c>
    </row>
    <row r="44" spans="1:17" s="299" customFormat="1" ht="15.75">
      <c r="A44" s="293" t="s">
        <v>265</v>
      </c>
      <c r="B44" s="300" t="s">
        <v>255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297">
        <f t="shared" si="2"/>
        <v>0</v>
      </c>
      <c r="N44" s="293"/>
      <c r="O44" s="293"/>
      <c r="P44" s="293"/>
      <c r="Q44" s="293"/>
    </row>
    <row r="45" spans="1:20" s="148" customFormat="1" ht="15.75">
      <c r="A45" s="100" t="s">
        <v>266</v>
      </c>
      <c r="B45" s="129" t="s">
        <v>26</v>
      </c>
      <c r="C45" s="120">
        <v>373</v>
      </c>
      <c r="D45" s="120">
        <v>420</v>
      </c>
      <c r="E45" s="120"/>
      <c r="F45" s="120">
        <v>383</v>
      </c>
      <c r="G45" s="258">
        <v>449</v>
      </c>
      <c r="H45" s="120"/>
      <c r="I45" s="120">
        <v>422</v>
      </c>
      <c r="J45" s="120"/>
      <c r="K45" s="120"/>
      <c r="L45" s="258">
        <v>436</v>
      </c>
      <c r="M45" s="147">
        <f t="shared" si="2"/>
        <v>2483</v>
      </c>
      <c r="N45" s="145">
        <v>2</v>
      </c>
      <c r="O45" s="145">
        <v>6</v>
      </c>
      <c r="P45" s="145">
        <v>-119</v>
      </c>
      <c r="Q45" s="145">
        <v>0</v>
      </c>
      <c r="T45" s="148">
        <v>1</v>
      </c>
    </row>
    <row r="46" spans="1:18" s="30" customFormat="1" ht="15.75">
      <c r="A46" s="110" t="s">
        <v>303</v>
      </c>
      <c r="B46" s="118" t="s">
        <v>208</v>
      </c>
      <c r="C46" s="339">
        <v>432</v>
      </c>
      <c r="D46" s="339">
        <v>420</v>
      </c>
      <c r="E46" s="339">
        <v>427</v>
      </c>
      <c r="F46" s="118"/>
      <c r="G46" s="339">
        <v>435</v>
      </c>
      <c r="H46" s="118"/>
      <c r="I46" s="118">
        <v>371</v>
      </c>
      <c r="J46" s="118"/>
      <c r="K46" s="118"/>
      <c r="L46" s="339">
        <v>418</v>
      </c>
      <c r="M46" s="234">
        <f t="shared" si="2"/>
        <v>2503</v>
      </c>
      <c r="N46" s="26">
        <v>7</v>
      </c>
      <c r="O46" s="26">
        <v>1</v>
      </c>
      <c r="P46" s="26">
        <f>M46-2473</f>
        <v>30</v>
      </c>
      <c r="Q46" s="26">
        <v>2</v>
      </c>
      <c r="R46" s="30">
        <v>1</v>
      </c>
    </row>
    <row r="47" spans="1:20" s="23" customFormat="1" ht="16.5" thickBot="1">
      <c r="A47" s="145" t="s">
        <v>304</v>
      </c>
      <c r="B47" s="146" t="s">
        <v>210</v>
      </c>
      <c r="C47" s="170">
        <v>393</v>
      </c>
      <c r="D47" s="364">
        <v>419</v>
      </c>
      <c r="E47" s="364">
        <v>423</v>
      </c>
      <c r="F47" s="170">
        <v>407</v>
      </c>
      <c r="G47" s="364">
        <v>420</v>
      </c>
      <c r="H47" s="170"/>
      <c r="I47" s="170"/>
      <c r="J47" s="170"/>
      <c r="K47" s="170"/>
      <c r="L47" s="364">
        <v>454</v>
      </c>
      <c r="M47" s="69">
        <f t="shared" si="2"/>
        <v>2516</v>
      </c>
      <c r="N47" s="25">
        <v>6</v>
      </c>
      <c r="O47" s="25">
        <v>2</v>
      </c>
      <c r="P47" s="25">
        <f>M47-2414</f>
        <v>102</v>
      </c>
      <c r="Q47" s="25">
        <v>2</v>
      </c>
      <c r="R47" s="151">
        <v>1</v>
      </c>
      <c r="S47" s="151"/>
      <c r="T47" s="151"/>
    </row>
    <row r="48" spans="3:20" ht="16.5" thickTop="1">
      <c r="C48" s="72">
        <f aca="true" t="shared" si="3" ref="C48:I48">SUM(C31:C47)</f>
        <v>6277</v>
      </c>
      <c r="D48" s="72">
        <f t="shared" si="3"/>
        <v>6262</v>
      </c>
      <c r="E48" s="72">
        <f t="shared" si="3"/>
        <v>6415</v>
      </c>
      <c r="F48" s="72">
        <f t="shared" si="3"/>
        <v>4416</v>
      </c>
      <c r="G48" s="72">
        <f t="shared" si="3"/>
        <v>4605</v>
      </c>
      <c r="H48" s="72">
        <f t="shared" si="3"/>
        <v>1590</v>
      </c>
      <c r="I48" s="72">
        <f t="shared" si="3"/>
        <v>4867</v>
      </c>
      <c r="J48" s="72">
        <f>SUM(J31:J47)</f>
        <v>0</v>
      </c>
      <c r="K48" s="72">
        <f>SUM(K31:K47)</f>
        <v>0</v>
      </c>
      <c r="L48" s="72">
        <f>SUM(L31:L47)</f>
        <v>5512</v>
      </c>
      <c r="N48" s="1">
        <f>SUM(N31:N47)</f>
        <v>64</v>
      </c>
      <c r="O48" s="1">
        <f>SUM(O31:O47)</f>
        <v>64</v>
      </c>
      <c r="P48" s="1">
        <f>SUM(P31:P47)</f>
        <v>-243</v>
      </c>
      <c r="Q48" s="1">
        <f>SUM(Q31:Q47)</f>
        <v>16</v>
      </c>
      <c r="R48" s="1">
        <f>SUM(R31:R47)+R23</f>
        <v>15</v>
      </c>
      <c r="S48" s="1">
        <f>SUM(S31:S47)+S23</f>
        <v>1</v>
      </c>
      <c r="T48" s="1">
        <f>SUM(T31:T47)+T23</f>
        <v>16</v>
      </c>
    </row>
    <row r="49" spans="2:12" ht="31.5">
      <c r="B49" s="67" t="s">
        <v>250</v>
      </c>
      <c r="C49" s="16">
        <f>COUNT(C31:C47)</f>
        <v>15</v>
      </c>
      <c r="D49" s="16">
        <f aca="true" t="shared" si="4" ref="D49:L49">COUNT(D31:D47)</f>
        <v>15</v>
      </c>
      <c r="E49" s="16">
        <f t="shared" si="4"/>
        <v>15</v>
      </c>
      <c r="F49" s="16">
        <f t="shared" si="4"/>
        <v>11</v>
      </c>
      <c r="G49" s="16">
        <f t="shared" si="4"/>
        <v>11</v>
      </c>
      <c r="H49" s="16">
        <f t="shared" si="4"/>
        <v>4</v>
      </c>
      <c r="I49" s="16">
        <f t="shared" si="4"/>
        <v>12</v>
      </c>
      <c r="J49" s="16">
        <f t="shared" si="4"/>
        <v>0</v>
      </c>
      <c r="K49" s="16">
        <f t="shared" si="4"/>
        <v>0</v>
      </c>
      <c r="L49" s="16">
        <f t="shared" si="4"/>
        <v>13</v>
      </c>
    </row>
    <row r="50" spans="2:20" ht="31.5">
      <c r="B50" s="11" t="s">
        <v>249</v>
      </c>
      <c r="C50" s="16">
        <f aca="true" t="shared" si="5" ref="C50:I50">C48/C49</f>
        <v>418.46666666666664</v>
      </c>
      <c r="D50" s="16">
        <f t="shared" si="5"/>
        <v>417.46666666666664</v>
      </c>
      <c r="E50" s="16">
        <f t="shared" si="5"/>
        <v>427.6666666666667</v>
      </c>
      <c r="F50" s="16">
        <f t="shared" si="5"/>
        <v>401.45454545454544</v>
      </c>
      <c r="G50" s="16">
        <f t="shared" si="5"/>
        <v>418.6363636363636</v>
      </c>
      <c r="H50" s="16">
        <f t="shared" si="5"/>
        <v>397.5</v>
      </c>
      <c r="I50" s="16">
        <f t="shared" si="5"/>
        <v>405.5833333333333</v>
      </c>
      <c r="J50" s="16"/>
      <c r="K50" s="16"/>
      <c r="L50" s="16">
        <f>L48/L49</f>
        <v>424</v>
      </c>
      <c r="M50" s="3" t="s">
        <v>30</v>
      </c>
      <c r="N50" s="371" t="s">
        <v>115</v>
      </c>
      <c r="O50" s="371"/>
      <c r="P50" s="3" t="s">
        <v>31</v>
      </c>
      <c r="Q50" s="10" t="s">
        <v>116</v>
      </c>
      <c r="S50" s="74" t="s">
        <v>126</v>
      </c>
      <c r="T50" s="74" t="s">
        <v>223</v>
      </c>
    </row>
    <row r="51" spans="13:20" ht="15.75">
      <c r="M51" s="6">
        <f>SUM(M31:M47)+M26</f>
        <v>79816</v>
      </c>
      <c r="N51" s="6">
        <f>SUM(N31:N47)+N26</f>
        <v>122</v>
      </c>
      <c r="O51" s="6">
        <f>SUM(O31:O47)+O26</f>
        <v>134</v>
      </c>
      <c r="P51" s="6">
        <f>SUM(P31:P47)+P26</f>
        <v>-668</v>
      </c>
      <c r="Q51" s="6">
        <f>SUM(Q31:Q47)+Q26</f>
        <v>31</v>
      </c>
      <c r="S51" s="2">
        <f>N51-O51</f>
        <v>-12</v>
      </c>
      <c r="T51" s="2">
        <f>SUM(R48:T48)</f>
        <v>32</v>
      </c>
    </row>
    <row r="53" spans="13:14" ht="15.75">
      <c r="M53" s="1" t="s">
        <v>128</v>
      </c>
      <c r="N53" s="18">
        <f>M51/T51</f>
        <v>2494.25</v>
      </c>
    </row>
  </sheetData>
  <sheetProtection/>
  <mergeCells count="11">
    <mergeCell ref="E1:F1"/>
    <mergeCell ref="H1:I1"/>
    <mergeCell ref="K1:L1"/>
    <mergeCell ref="K2:L2"/>
    <mergeCell ref="N50:O50"/>
    <mergeCell ref="I27:J27"/>
    <mergeCell ref="C4:L4"/>
    <mergeCell ref="N4:O4"/>
    <mergeCell ref="C27:D27"/>
    <mergeCell ref="N25:O25"/>
    <mergeCell ref="F27:G27"/>
  </mergeCells>
  <printOptions/>
  <pageMargins left="0.75" right="0.75" top="1" bottom="1" header="0.5" footer="0.5"/>
  <pageSetup horizontalDpi="600" verticalDpi="600" orientation="portrait" paperSize="9" r:id="rId1"/>
  <ignoredErrors>
    <ignoredError sqref="H23:H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zoomScale="90" zoomScaleNormal="90" zoomScalePageLayoutView="0" workbookViewId="0" topLeftCell="A25">
      <selection activeCell="K48" sqref="J48:K48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7" width="9.125" style="1" customWidth="1"/>
    <col min="8" max="8" width="10.625" style="1" customWidth="1"/>
    <col min="9" max="9" width="10.375" style="1" bestFit="1" customWidth="1"/>
    <col min="10" max="10" width="9.125" style="1" customWidth="1"/>
    <col min="11" max="11" width="10.875" style="1" customWidth="1"/>
    <col min="12" max="12" width="15.75390625" style="1" customWidth="1"/>
    <col min="13" max="13" width="18.2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00390625" style="1" customWidth="1"/>
    <col min="19" max="19" width="11.75390625" style="0" customWidth="1"/>
    <col min="20" max="20" width="11.25390625" style="0" customWidth="1"/>
  </cols>
  <sheetData>
    <row r="1" spans="1:14" ht="15.75">
      <c r="A1" s="58" t="s">
        <v>141</v>
      </c>
      <c r="B1" s="59"/>
      <c r="C1" s="59" t="s">
        <v>278</v>
      </c>
      <c r="D1" s="59" t="s">
        <v>139</v>
      </c>
      <c r="E1" s="372" t="s">
        <v>140</v>
      </c>
      <c r="F1" s="372"/>
      <c r="G1" s="59"/>
      <c r="I1" s="368" t="s">
        <v>151</v>
      </c>
      <c r="J1" s="368"/>
      <c r="K1" s="11" t="s">
        <v>152</v>
      </c>
      <c r="L1" s="13" t="s">
        <v>126</v>
      </c>
      <c r="M1" s="1" t="s">
        <v>128</v>
      </c>
      <c r="N1" s="18">
        <f>M26/T26</f>
        <v>2467.625</v>
      </c>
    </row>
    <row r="2" spans="9:14" ht="15.75">
      <c r="I2" s="1">
        <f>N26+N49</f>
        <v>99</v>
      </c>
      <c r="J2" s="1">
        <f>O26+O49</f>
        <v>157</v>
      </c>
      <c r="K2" s="1">
        <f>Q26+Q49</f>
        <v>20</v>
      </c>
      <c r="L2" s="1">
        <f>I2-J2</f>
        <v>-58</v>
      </c>
      <c r="M2" s="1" t="s">
        <v>234</v>
      </c>
      <c r="N2" s="6">
        <f>M6+M8+M10+M12+M14+M17+M19+M21</f>
        <v>19696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4.5" customHeight="1" thickBot="1">
      <c r="B5" s="3" t="s">
        <v>25</v>
      </c>
      <c r="C5" s="8" t="s">
        <v>167</v>
      </c>
      <c r="D5" s="8" t="s">
        <v>69</v>
      </c>
      <c r="E5" s="8" t="s">
        <v>168</v>
      </c>
      <c r="F5" s="8" t="s">
        <v>169</v>
      </c>
      <c r="G5" s="8"/>
      <c r="H5" s="8" t="s">
        <v>98</v>
      </c>
      <c r="I5" s="8" t="s">
        <v>150</v>
      </c>
      <c r="J5" s="8" t="s">
        <v>201</v>
      </c>
      <c r="K5" s="8" t="s">
        <v>134</v>
      </c>
      <c r="L5" s="285" t="s">
        <v>299</v>
      </c>
      <c r="M5" s="11" t="s">
        <v>30</v>
      </c>
      <c r="N5" s="11" t="s">
        <v>206</v>
      </c>
      <c r="O5" s="11" t="s">
        <v>29</v>
      </c>
      <c r="P5" s="11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15</v>
      </c>
      <c r="C6" s="43"/>
      <c r="D6" s="43">
        <v>420</v>
      </c>
      <c r="E6" s="43"/>
      <c r="F6" s="43">
        <v>408</v>
      </c>
      <c r="G6" s="43"/>
      <c r="H6" s="43">
        <v>419</v>
      </c>
      <c r="I6" s="243">
        <v>440</v>
      </c>
      <c r="J6" s="243">
        <v>443</v>
      </c>
      <c r="K6" s="243">
        <v>467</v>
      </c>
      <c r="L6" s="39"/>
      <c r="M6" s="109">
        <f aca="true" t="shared" si="0" ref="M6:M18">SUM(C6:L6)</f>
        <v>2597</v>
      </c>
      <c r="N6" s="110">
        <v>5</v>
      </c>
      <c r="O6" s="110">
        <v>3</v>
      </c>
      <c r="P6" s="110">
        <v>20</v>
      </c>
      <c r="Q6" s="110">
        <v>2</v>
      </c>
      <c r="R6" s="113">
        <v>1</v>
      </c>
      <c r="S6" s="113"/>
      <c r="T6" s="113"/>
    </row>
    <row r="7" spans="1:20" s="104" customFormat="1" ht="15.75">
      <c r="A7" s="19" t="s">
        <v>1</v>
      </c>
      <c r="B7" s="137" t="s">
        <v>263</v>
      </c>
      <c r="C7" s="42">
        <v>392</v>
      </c>
      <c r="D7" s="244">
        <v>431</v>
      </c>
      <c r="E7" s="42">
        <v>357</v>
      </c>
      <c r="F7" s="42"/>
      <c r="G7" s="42"/>
      <c r="H7" s="244">
        <v>206</v>
      </c>
      <c r="I7" s="244">
        <v>437</v>
      </c>
      <c r="J7" s="244">
        <v>410</v>
      </c>
      <c r="K7" s="244">
        <v>226</v>
      </c>
      <c r="L7" s="35"/>
      <c r="M7" s="154">
        <f t="shared" si="0"/>
        <v>2459</v>
      </c>
      <c r="N7" s="100">
        <v>6</v>
      </c>
      <c r="O7" s="100">
        <v>2</v>
      </c>
      <c r="P7" s="100">
        <v>117</v>
      </c>
      <c r="Q7" s="100">
        <v>2</v>
      </c>
      <c r="R7" s="103">
        <v>1</v>
      </c>
      <c r="S7" s="103"/>
      <c r="T7" s="103"/>
    </row>
    <row r="8" spans="1:20" s="114" customFormat="1" ht="15.75">
      <c r="A8" s="26" t="s">
        <v>2</v>
      </c>
      <c r="B8" s="57" t="s">
        <v>23</v>
      </c>
      <c r="C8" s="43">
        <v>360</v>
      </c>
      <c r="D8" s="43">
        <v>406</v>
      </c>
      <c r="E8" s="43"/>
      <c r="F8" s="43">
        <v>400</v>
      </c>
      <c r="G8" s="43"/>
      <c r="H8" s="43">
        <v>403</v>
      </c>
      <c r="I8" s="43">
        <v>386</v>
      </c>
      <c r="J8" s="243">
        <v>432</v>
      </c>
      <c r="K8" s="43"/>
      <c r="L8" s="39"/>
      <c r="M8" s="109">
        <f t="shared" si="0"/>
        <v>2387</v>
      </c>
      <c r="N8" s="110">
        <v>1</v>
      </c>
      <c r="O8" s="110">
        <v>7</v>
      </c>
      <c r="P8" s="110">
        <v>-146</v>
      </c>
      <c r="Q8" s="110">
        <v>0</v>
      </c>
      <c r="R8" s="113"/>
      <c r="S8" s="113"/>
      <c r="T8" s="113">
        <v>1</v>
      </c>
    </row>
    <row r="9" spans="1:20" s="23" customFormat="1" ht="15.75">
      <c r="A9" s="145" t="s">
        <v>3</v>
      </c>
      <c r="B9" s="153" t="s">
        <v>260</v>
      </c>
      <c r="C9" s="146"/>
      <c r="D9" s="146">
        <v>376</v>
      </c>
      <c r="E9" s="146"/>
      <c r="F9" s="146">
        <v>404</v>
      </c>
      <c r="G9" s="146"/>
      <c r="H9" s="146">
        <v>407</v>
      </c>
      <c r="I9" s="257">
        <v>421</v>
      </c>
      <c r="J9" s="257">
        <v>467</v>
      </c>
      <c r="K9" s="257">
        <v>467</v>
      </c>
      <c r="L9" s="165"/>
      <c r="M9" s="21">
        <f t="shared" si="0"/>
        <v>2542</v>
      </c>
      <c r="N9" s="19">
        <v>5</v>
      </c>
      <c r="O9" s="19">
        <v>3</v>
      </c>
      <c r="P9" s="21">
        <v>23</v>
      </c>
      <c r="Q9" s="19">
        <v>2</v>
      </c>
      <c r="R9" s="22">
        <v>1</v>
      </c>
      <c r="S9" s="22"/>
      <c r="T9" s="22"/>
    </row>
    <row r="10" spans="1:20" s="114" customFormat="1" ht="15.75">
      <c r="A10" s="26" t="s">
        <v>4</v>
      </c>
      <c r="B10" s="57" t="s">
        <v>209</v>
      </c>
      <c r="C10" s="43">
        <v>395</v>
      </c>
      <c r="D10" s="47"/>
      <c r="E10" s="43">
        <v>383</v>
      </c>
      <c r="F10" s="43"/>
      <c r="G10" s="43"/>
      <c r="H10" s="47">
        <v>388</v>
      </c>
      <c r="I10" s="243">
        <v>396</v>
      </c>
      <c r="J10" s="47">
        <v>383</v>
      </c>
      <c r="K10" s="243">
        <v>414</v>
      </c>
      <c r="L10" s="39"/>
      <c r="M10" s="109">
        <f t="shared" si="0"/>
        <v>2359</v>
      </c>
      <c r="N10" s="110">
        <v>2</v>
      </c>
      <c r="O10" s="110">
        <v>6</v>
      </c>
      <c r="P10" s="109">
        <v>-68</v>
      </c>
      <c r="Q10" s="110">
        <v>0</v>
      </c>
      <c r="R10" s="113"/>
      <c r="S10" s="113"/>
      <c r="T10" s="113">
        <v>1</v>
      </c>
    </row>
    <row r="11" spans="1:20" s="148" customFormat="1" ht="15.75">
      <c r="A11" s="100" t="s">
        <v>5</v>
      </c>
      <c r="B11" s="121" t="s">
        <v>16</v>
      </c>
      <c r="C11" s="120">
        <v>388</v>
      </c>
      <c r="D11" s="120">
        <v>402</v>
      </c>
      <c r="E11" s="120"/>
      <c r="F11" s="258">
        <v>448</v>
      </c>
      <c r="G11" s="120"/>
      <c r="H11" s="120">
        <v>388</v>
      </c>
      <c r="I11" s="120">
        <v>420</v>
      </c>
      <c r="J11" s="120"/>
      <c r="K11" s="258">
        <v>469</v>
      </c>
      <c r="L11" s="157"/>
      <c r="M11" s="175">
        <f t="shared" si="0"/>
        <v>2515</v>
      </c>
      <c r="N11" s="145">
        <v>2</v>
      </c>
      <c r="O11" s="145">
        <v>6</v>
      </c>
      <c r="P11" s="145">
        <v>-145</v>
      </c>
      <c r="Q11" s="145">
        <v>0</v>
      </c>
      <c r="R11" s="176"/>
      <c r="S11" s="176"/>
      <c r="T11" s="176">
        <v>1</v>
      </c>
    </row>
    <row r="12" spans="1:20" s="114" customFormat="1" ht="15.75">
      <c r="A12" s="26" t="s">
        <v>6</v>
      </c>
      <c r="B12" s="57" t="s">
        <v>205</v>
      </c>
      <c r="C12" s="43"/>
      <c r="D12" s="243">
        <v>477</v>
      </c>
      <c r="E12" s="43">
        <v>376</v>
      </c>
      <c r="F12" s="243">
        <v>438</v>
      </c>
      <c r="G12" s="43"/>
      <c r="H12" s="43"/>
      <c r="I12" s="43">
        <v>392</v>
      </c>
      <c r="J12" s="243">
        <v>481</v>
      </c>
      <c r="K12" s="243">
        <v>427</v>
      </c>
      <c r="L12" s="39"/>
      <c r="M12" s="109">
        <f t="shared" si="0"/>
        <v>2591</v>
      </c>
      <c r="N12" s="110">
        <v>6</v>
      </c>
      <c r="O12" s="110">
        <v>2</v>
      </c>
      <c r="P12" s="109">
        <f>M12-2410</f>
        <v>181</v>
      </c>
      <c r="Q12" s="110">
        <v>2</v>
      </c>
      <c r="R12" s="113">
        <v>1</v>
      </c>
      <c r="S12" s="113"/>
      <c r="T12" s="113"/>
    </row>
    <row r="13" spans="1:20" s="104" customFormat="1" ht="15.75">
      <c r="A13" s="19" t="s">
        <v>7</v>
      </c>
      <c r="B13" s="137" t="s">
        <v>21</v>
      </c>
      <c r="C13" s="42">
        <v>374</v>
      </c>
      <c r="D13" s="42">
        <v>405</v>
      </c>
      <c r="E13" s="42"/>
      <c r="F13" s="42">
        <v>402</v>
      </c>
      <c r="G13" s="42"/>
      <c r="H13" s="42">
        <v>409</v>
      </c>
      <c r="I13" s="42"/>
      <c r="J13" s="244">
        <v>463</v>
      </c>
      <c r="K13" s="244">
        <v>443</v>
      </c>
      <c r="L13" s="35"/>
      <c r="M13" s="154">
        <f t="shared" si="0"/>
        <v>2496</v>
      </c>
      <c r="N13" s="100">
        <v>4</v>
      </c>
      <c r="O13" s="100">
        <v>4</v>
      </c>
      <c r="P13" s="100">
        <v>8</v>
      </c>
      <c r="Q13" s="100">
        <v>1</v>
      </c>
      <c r="R13" s="103"/>
      <c r="S13" s="103">
        <v>1</v>
      </c>
      <c r="T13" s="103"/>
    </row>
    <row r="14" spans="1:20" s="114" customFormat="1" ht="15.75">
      <c r="A14" s="26" t="s">
        <v>8</v>
      </c>
      <c r="B14" s="57" t="s">
        <v>26</v>
      </c>
      <c r="C14" s="43"/>
      <c r="D14" s="243">
        <v>443</v>
      </c>
      <c r="E14" s="43">
        <v>422</v>
      </c>
      <c r="F14" s="243">
        <v>438</v>
      </c>
      <c r="G14" s="43"/>
      <c r="H14" s="43">
        <v>358</v>
      </c>
      <c r="I14" s="43"/>
      <c r="J14" s="243">
        <v>459</v>
      </c>
      <c r="K14" s="43">
        <v>422</v>
      </c>
      <c r="L14" s="39"/>
      <c r="M14" s="109">
        <f t="shared" si="0"/>
        <v>2542</v>
      </c>
      <c r="N14" s="110">
        <v>3</v>
      </c>
      <c r="O14" s="110">
        <v>5</v>
      </c>
      <c r="P14" s="109">
        <v>-31</v>
      </c>
      <c r="Q14" s="110">
        <v>0</v>
      </c>
      <c r="R14" s="113"/>
      <c r="S14" s="113"/>
      <c r="T14" s="113">
        <v>1</v>
      </c>
    </row>
    <row r="15" spans="1:20" s="23" customFormat="1" ht="15.75">
      <c r="A15" s="145" t="s">
        <v>9</v>
      </c>
      <c r="B15" s="153" t="s">
        <v>208</v>
      </c>
      <c r="C15" s="146">
        <v>359</v>
      </c>
      <c r="D15" s="146">
        <v>396</v>
      </c>
      <c r="E15" s="257">
        <v>416</v>
      </c>
      <c r="F15" s="146">
        <v>411</v>
      </c>
      <c r="G15" s="146"/>
      <c r="H15" s="146">
        <v>390</v>
      </c>
      <c r="I15" s="146"/>
      <c r="J15" s="146"/>
      <c r="K15" s="257">
        <v>459</v>
      </c>
      <c r="L15" s="165"/>
      <c r="M15" s="21">
        <f t="shared" si="0"/>
        <v>2431</v>
      </c>
      <c r="N15" s="19">
        <v>2</v>
      </c>
      <c r="O15" s="19">
        <v>6</v>
      </c>
      <c r="P15" s="21">
        <v>-150</v>
      </c>
      <c r="Q15" s="19">
        <v>0</v>
      </c>
      <c r="R15" s="22"/>
      <c r="S15" s="22"/>
      <c r="T15" s="22">
        <v>1</v>
      </c>
    </row>
    <row r="16" spans="1:20" s="114" customFormat="1" ht="15.75">
      <c r="A16" s="26" t="s">
        <v>10</v>
      </c>
      <c r="B16" s="57" t="s">
        <v>255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6"/>
      <c r="M16" s="109" t="s">
        <v>255</v>
      </c>
      <c r="N16" s="191"/>
      <c r="O16" s="191"/>
      <c r="P16" s="191"/>
      <c r="Q16" s="191"/>
      <c r="R16" s="193"/>
      <c r="S16" s="193"/>
      <c r="T16" s="193"/>
    </row>
    <row r="17" spans="1:20" s="114" customFormat="1" ht="15.75">
      <c r="A17" s="26" t="s">
        <v>11</v>
      </c>
      <c r="B17" s="57" t="s">
        <v>20</v>
      </c>
      <c r="C17" s="43">
        <v>371</v>
      </c>
      <c r="D17" s="43">
        <v>374</v>
      </c>
      <c r="E17" s="43">
        <v>372</v>
      </c>
      <c r="F17" s="243">
        <v>411</v>
      </c>
      <c r="G17" s="43"/>
      <c r="H17" s="43"/>
      <c r="I17" s="43"/>
      <c r="J17" s="243">
        <v>463</v>
      </c>
      <c r="K17" s="243">
        <v>431</v>
      </c>
      <c r="L17" s="39"/>
      <c r="M17" s="109">
        <f t="shared" si="0"/>
        <v>2422</v>
      </c>
      <c r="N17" s="110">
        <v>3</v>
      </c>
      <c r="O17" s="110">
        <v>5</v>
      </c>
      <c r="P17" s="109">
        <v>-19</v>
      </c>
      <c r="Q17" s="110">
        <v>0</v>
      </c>
      <c r="R17" s="113"/>
      <c r="S17" s="113"/>
      <c r="T17" s="113">
        <v>1</v>
      </c>
    </row>
    <row r="18" spans="1:20" s="148" customFormat="1" ht="15.75">
      <c r="A18" s="100" t="s">
        <v>12</v>
      </c>
      <c r="B18" s="121" t="s">
        <v>22</v>
      </c>
      <c r="C18" s="120"/>
      <c r="D18" s="120">
        <v>403</v>
      </c>
      <c r="E18" s="120">
        <v>357</v>
      </c>
      <c r="F18" s="258">
        <v>403</v>
      </c>
      <c r="G18" s="120"/>
      <c r="H18" s="120">
        <v>368</v>
      </c>
      <c r="I18" s="120"/>
      <c r="J18" s="258">
        <v>458</v>
      </c>
      <c r="K18" s="258">
        <v>446</v>
      </c>
      <c r="L18" s="157"/>
      <c r="M18" s="175">
        <f t="shared" si="0"/>
        <v>2435</v>
      </c>
      <c r="N18" s="145">
        <v>5</v>
      </c>
      <c r="O18" s="145">
        <v>3</v>
      </c>
      <c r="P18" s="175">
        <v>45</v>
      </c>
      <c r="Q18" s="145">
        <v>2</v>
      </c>
      <c r="R18" s="176">
        <v>1</v>
      </c>
      <c r="S18" s="176"/>
      <c r="T18" s="176"/>
    </row>
    <row r="19" spans="1:20" s="114" customFormat="1" ht="15.75">
      <c r="A19" s="26" t="s">
        <v>13</v>
      </c>
      <c r="B19" s="57" t="s">
        <v>196</v>
      </c>
      <c r="C19" s="43">
        <v>351</v>
      </c>
      <c r="D19" s="43">
        <v>361</v>
      </c>
      <c r="E19" s="43"/>
      <c r="F19" s="243">
        <v>464</v>
      </c>
      <c r="G19" s="43"/>
      <c r="H19" s="43">
        <v>387</v>
      </c>
      <c r="I19" s="43"/>
      <c r="J19" s="243">
        <v>453</v>
      </c>
      <c r="K19" s="243">
        <v>456</v>
      </c>
      <c r="L19" s="39"/>
      <c r="M19" s="109">
        <f>SUM(C19:K19)</f>
        <v>2472</v>
      </c>
      <c r="N19" s="110">
        <v>5</v>
      </c>
      <c r="O19" s="110">
        <v>3</v>
      </c>
      <c r="P19" s="109">
        <v>13</v>
      </c>
      <c r="Q19" s="110">
        <v>2</v>
      </c>
      <c r="R19" s="113">
        <v>1</v>
      </c>
      <c r="S19" s="113"/>
      <c r="T19" s="113"/>
    </row>
    <row r="20" spans="1:20" s="104" customFormat="1" ht="15.75">
      <c r="A20" s="19" t="s">
        <v>14</v>
      </c>
      <c r="B20" s="137" t="s">
        <v>19</v>
      </c>
      <c r="C20" s="42">
        <v>401</v>
      </c>
      <c r="D20" s="42">
        <v>400</v>
      </c>
      <c r="E20" s="42">
        <v>389</v>
      </c>
      <c r="F20" s="244">
        <v>421</v>
      </c>
      <c r="G20" s="42"/>
      <c r="H20" s="42">
        <v>389</v>
      </c>
      <c r="I20" s="42"/>
      <c r="J20" s="244">
        <v>467</v>
      </c>
      <c r="K20" s="42"/>
      <c r="M20" s="154">
        <f>SUM(C20:K20)</f>
        <v>2467</v>
      </c>
      <c r="N20" s="100">
        <v>2</v>
      </c>
      <c r="O20" s="100">
        <v>6</v>
      </c>
      <c r="P20" s="154">
        <v>-46</v>
      </c>
      <c r="Q20" s="100">
        <v>0</v>
      </c>
      <c r="R20" s="103"/>
      <c r="S20" s="103"/>
      <c r="T20" s="103">
        <v>1</v>
      </c>
    </row>
    <row r="21" spans="1:20" s="114" customFormat="1" ht="15.75">
      <c r="A21" s="26" t="s">
        <v>261</v>
      </c>
      <c r="B21" s="57" t="s">
        <v>24</v>
      </c>
      <c r="C21" s="43">
        <v>374</v>
      </c>
      <c r="D21" s="243">
        <v>436</v>
      </c>
      <c r="E21" s="43">
        <v>383</v>
      </c>
      <c r="F21" s="43">
        <v>377</v>
      </c>
      <c r="G21" s="43"/>
      <c r="H21" s="43"/>
      <c r="I21" s="43"/>
      <c r="J21" s="43"/>
      <c r="K21" s="243">
        <v>440</v>
      </c>
      <c r="L21" s="39">
        <v>316</v>
      </c>
      <c r="M21" s="109">
        <f>SUM(C21:L21)</f>
        <v>2326</v>
      </c>
      <c r="N21" s="110">
        <v>2</v>
      </c>
      <c r="O21" s="110">
        <v>6</v>
      </c>
      <c r="P21" s="109">
        <f>M21-2523</f>
        <v>-197</v>
      </c>
      <c r="Q21" s="110">
        <v>0</v>
      </c>
      <c r="R21" s="113"/>
      <c r="S21" s="113"/>
      <c r="T21" s="113">
        <v>1</v>
      </c>
    </row>
    <row r="22" spans="1:20" s="23" customFormat="1" ht="16.5" thickBot="1">
      <c r="A22" s="145" t="s">
        <v>262</v>
      </c>
      <c r="B22" s="153" t="s">
        <v>17</v>
      </c>
      <c r="C22" s="170"/>
      <c r="D22" s="170">
        <v>370</v>
      </c>
      <c r="E22" s="170">
        <v>387</v>
      </c>
      <c r="F22" s="170">
        <v>412</v>
      </c>
      <c r="G22" s="170"/>
      <c r="H22" s="170">
        <v>375</v>
      </c>
      <c r="I22" s="170"/>
      <c r="J22" s="284">
        <v>467</v>
      </c>
      <c r="K22" s="284">
        <v>430</v>
      </c>
      <c r="L22" s="171"/>
      <c r="M22" s="24">
        <f>SUM(C22:L22)</f>
        <v>2441</v>
      </c>
      <c r="N22" s="25">
        <v>2</v>
      </c>
      <c r="O22" s="25">
        <v>6</v>
      </c>
      <c r="P22" s="24">
        <v>-90</v>
      </c>
      <c r="Q22" s="25">
        <v>0</v>
      </c>
      <c r="R22" s="76"/>
      <c r="S22" s="76"/>
      <c r="T22" s="76">
        <v>1</v>
      </c>
    </row>
    <row r="23" spans="3:20" ht="16.5" thickTop="1">
      <c r="C23" s="6">
        <f>SUM(C6:C22)</f>
        <v>3765</v>
      </c>
      <c r="D23" s="6">
        <f>SUM(D6:D22)</f>
        <v>6100</v>
      </c>
      <c r="E23" s="6">
        <f>SUM(E6:E22)</f>
        <v>3842</v>
      </c>
      <c r="F23" s="6">
        <f>SUM(F6:F22)</f>
        <v>5837</v>
      </c>
      <c r="G23" s="6"/>
      <c r="H23" s="6">
        <f>SUM(H8:H22)+H6</f>
        <v>4681</v>
      </c>
      <c r="I23" s="6">
        <f>SUM(I6:I22)</f>
        <v>2892</v>
      </c>
      <c r="J23" s="6">
        <f>SUM(J6:J22)</f>
        <v>5846</v>
      </c>
      <c r="K23" s="6">
        <f>SUM(K8:K22)+K6</f>
        <v>5771</v>
      </c>
      <c r="L23" s="6">
        <f>SUM(L6:L22)</f>
        <v>316</v>
      </c>
      <c r="R23" s="2">
        <f>SUM(R6:R22)</f>
        <v>6</v>
      </c>
      <c r="S23" s="2">
        <f>SUM(S6:S22)</f>
        <v>1</v>
      </c>
      <c r="T23" s="2">
        <f>SUM(T6:T22)</f>
        <v>9</v>
      </c>
    </row>
    <row r="24" spans="2:12" ht="15.75">
      <c r="B24" s="1" t="s">
        <v>225</v>
      </c>
      <c r="C24" s="6">
        <f>COUNT(C6:C22)</f>
        <v>10</v>
      </c>
      <c r="D24" s="6">
        <f>COUNT(D6:D22)</f>
        <v>15</v>
      </c>
      <c r="E24" s="6">
        <f>COUNT(E6:E22)</f>
        <v>10</v>
      </c>
      <c r="F24" s="6">
        <f>COUNT(F6:F22)</f>
        <v>14</v>
      </c>
      <c r="G24" s="6"/>
      <c r="H24" s="6">
        <f>COUNT(H8:H22)+COUNT(H6)</f>
        <v>12</v>
      </c>
      <c r="I24" s="6">
        <f>COUNT(I6:I22)</f>
        <v>7</v>
      </c>
      <c r="J24" s="6">
        <f>COUNT(J6:J22)</f>
        <v>13</v>
      </c>
      <c r="K24" s="6">
        <f>COUNT(K8:K22)+COUNT(K6)</f>
        <v>13</v>
      </c>
      <c r="L24" s="6">
        <f>COUNT(L8:L22)+COUNT(L6)</f>
        <v>1</v>
      </c>
    </row>
    <row r="25" spans="2:20" ht="31.5">
      <c r="B25" s="11" t="s">
        <v>127</v>
      </c>
      <c r="C25" s="16">
        <f>AVERAGE(C6:C22)</f>
        <v>376.5</v>
      </c>
      <c r="D25" s="16">
        <f>AVERAGE(D6:D22)</f>
        <v>406.6666666666667</v>
      </c>
      <c r="E25" s="16">
        <f>AVERAGE(E6:E22)</f>
        <v>384.2</v>
      </c>
      <c r="F25" s="16">
        <f>AVERAGE(F6:F22)</f>
        <v>416.92857142857144</v>
      </c>
      <c r="G25" s="16"/>
      <c r="H25" s="16">
        <f>H23/H24</f>
        <v>390.0833333333333</v>
      </c>
      <c r="I25" s="16">
        <f>AVERAGE(I6:I22)</f>
        <v>413.14285714285717</v>
      </c>
      <c r="J25" s="16">
        <f>AVERAGE(J6:J22)</f>
        <v>449.6923076923077</v>
      </c>
      <c r="K25" s="16">
        <f>K23/K24</f>
        <v>443.9230769230769</v>
      </c>
      <c r="L25" s="16">
        <f>L23/L24</f>
        <v>316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39482</v>
      </c>
      <c r="N26" s="1">
        <f>SUM(N6:N22)</f>
        <v>55</v>
      </c>
      <c r="O26" s="1">
        <f>SUM(O6:O22)</f>
        <v>73</v>
      </c>
      <c r="P26" s="1">
        <f>SUM(P6:P22)</f>
        <v>-485</v>
      </c>
      <c r="Q26" s="1">
        <f>SUM(Q6:Q22)</f>
        <v>13</v>
      </c>
      <c r="S26" s="2">
        <f>N26-O26</f>
        <v>-18</v>
      </c>
      <c r="T26" s="2">
        <f>SUM(R23:T23)</f>
        <v>16</v>
      </c>
    </row>
    <row r="28" spans="3:11" ht="15.75">
      <c r="C28" s="377" t="s">
        <v>39</v>
      </c>
      <c r="D28" s="377"/>
      <c r="F28" s="375" t="s">
        <v>132</v>
      </c>
      <c r="G28" s="375"/>
      <c r="H28" s="375"/>
      <c r="J28" s="376" t="s">
        <v>133</v>
      </c>
      <c r="K28" s="376"/>
    </row>
    <row r="29" spans="1:20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226"/>
      <c r="S29" s="226"/>
      <c r="T29" s="226"/>
    </row>
    <row r="30" spans="6:7" ht="15.75">
      <c r="F30" s="49"/>
      <c r="G30" s="49"/>
    </row>
    <row r="31" spans="2:20" ht="34.5" customHeight="1" thickBot="1">
      <c r="B31" s="3" t="s">
        <v>25</v>
      </c>
      <c r="C31" s="8" t="s">
        <v>167</v>
      </c>
      <c r="D31" s="8" t="s">
        <v>69</v>
      </c>
      <c r="E31" s="8" t="s">
        <v>168</v>
      </c>
      <c r="F31" s="8" t="s">
        <v>169</v>
      </c>
      <c r="G31" s="8" t="s">
        <v>308</v>
      </c>
      <c r="H31" s="8" t="s">
        <v>98</v>
      </c>
      <c r="I31" s="8" t="s">
        <v>150</v>
      </c>
      <c r="J31" s="8" t="s">
        <v>201</v>
      </c>
      <c r="K31" s="8" t="s">
        <v>134</v>
      </c>
      <c r="L31" s="285" t="s">
        <v>299</v>
      </c>
      <c r="M31" s="11" t="s">
        <v>30</v>
      </c>
      <c r="N31" s="11" t="s">
        <v>206</v>
      </c>
      <c r="O31" s="11" t="s">
        <v>29</v>
      </c>
      <c r="P31" s="11" t="s">
        <v>31</v>
      </c>
      <c r="Q31" s="10" t="s">
        <v>114</v>
      </c>
      <c r="R31" s="2" t="s">
        <v>184</v>
      </c>
      <c r="S31" s="2" t="s">
        <v>185</v>
      </c>
      <c r="T31" s="2" t="s">
        <v>186</v>
      </c>
    </row>
    <row r="32" spans="1:20" s="23" customFormat="1" ht="15.75">
      <c r="A32" s="145" t="s">
        <v>153</v>
      </c>
      <c r="B32" s="153" t="s">
        <v>26</v>
      </c>
      <c r="C32" s="33"/>
      <c r="D32" s="33">
        <v>395</v>
      </c>
      <c r="E32" s="252">
        <v>418</v>
      </c>
      <c r="F32" s="33"/>
      <c r="G32" s="33">
        <v>338</v>
      </c>
      <c r="H32" s="33">
        <v>392</v>
      </c>
      <c r="I32" s="33"/>
      <c r="J32" s="252">
        <v>436</v>
      </c>
      <c r="K32" s="33">
        <v>415</v>
      </c>
      <c r="L32" s="33"/>
      <c r="M32" s="69">
        <f>SUM(C32:L32)</f>
        <v>2394</v>
      </c>
      <c r="N32" s="19">
        <v>2</v>
      </c>
      <c r="O32" s="19">
        <v>6</v>
      </c>
      <c r="P32" s="19">
        <f>M32-2574</f>
        <v>-180</v>
      </c>
      <c r="Q32" s="19">
        <v>0</v>
      </c>
      <c r="T32" s="23">
        <v>1</v>
      </c>
    </row>
    <row r="33" spans="1:18" s="114" customFormat="1" ht="15.75">
      <c r="A33" s="26" t="s">
        <v>154</v>
      </c>
      <c r="B33" s="57" t="s">
        <v>208</v>
      </c>
      <c r="C33" s="43">
        <v>342</v>
      </c>
      <c r="D33" s="43">
        <v>392</v>
      </c>
      <c r="E33" s="43">
        <v>414</v>
      </c>
      <c r="F33" s="256">
        <v>463</v>
      </c>
      <c r="G33" s="111"/>
      <c r="H33" s="111"/>
      <c r="I33" s="111"/>
      <c r="J33" s="256">
        <v>485</v>
      </c>
      <c r="K33" s="256">
        <v>447</v>
      </c>
      <c r="L33" s="111"/>
      <c r="M33" s="112">
        <f aca="true" t="shared" si="1" ref="M33:M48">SUM(C33:L33)</f>
        <v>2543</v>
      </c>
      <c r="N33" s="110">
        <v>5</v>
      </c>
      <c r="O33" s="110">
        <v>3</v>
      </c>
      <c r="P33" s="110">
        <f>M33-2497</f>
        <v>46</v>
      </c>
      <c r="Q33" s="110">
        <v>2</v>
      </c>
      <c r="R33" s="114">
        <v>1</v>
      </c>
    </row>
    <row r="34" spans="1:17" s="299" customFormat="1" ht="15.75">
      <c r="A34" s="293" t="s">
        <v>155</v>
      </c>
      <c r="B34" s="294" t="s">
        <v>255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7">
        <f t="shared" si="1"/>
        <v>0</v>
      </c>
      <c r="N34" s="293"/>
      <c r="O34" s="293"/>
      <c r="P34" s="293"/>
      <c r="Q34" s="293"/>
    </row>
    <row r="35" spans="1:20" s="148" customFormat="1" ht="15.75">
      <c r="A35" s="100" t="s">
        <v>156</v>
      </c>
      <c r="B35" s="121" t="s">
        <v>20</v>
      </c>
      <c r="C35" s="289"/>
      <c r="D35" s="33">
        <v>392</v>
      </c>
      <c r="E35" s="33">
        <v>338</v>
      </c>
      <c r="F35" s="33">
        <v>426</v>
      </c>
      <c r="G35" s="33"/>
      <c r="H35" s="33">
        <v>390</v>
      </c>
      <c r="I35" s="33"/>
      <c r="J35" s="244">
        <v>442</v>
      </c>
      <c r="K35" s="244">
        <v>442</v>
      </c>
      <c r="L35" s="289"/>
      <c r="M35" s="147">
        <f t="shared" si="1"/>
        <v>2430</v>
      </c>
      <c r="N35" s="145">
        <v>2</v>
      </c>
      <c r="O35" s="145">
        <v>6</v>
      </c>
      <c r="P35" s="145">
        <v>-120</v>
      </c>
      <c r="Q35" s="145">
        <v>0</v>
      </c>
      <c r="T35" s="148">
        <v>1</v>
      </c>
    </row>
    <row r="36" spans="1:18" s="114" customFormat="1" ht="15.75">
      <c r="A36" s="26" t="s">
        <v>157</v>
      </c>
      <c r="B36" s="57" t="s">
        <v>22</v>
      </c>
      <c r="C36" s="111"/>
      <c r="D36" s="256">
        <v>419</v>
      </c>
      <c r="E36" s="111">
        <v>381</v>
      </c>
      <c r="F36" s="256">
        <v>424</v>
      </c>
      <c r="G36" s="111"/>
      <c r="H36" s="111">
        <v>384</v>
      </c>
      <c r="I36" s="111"/>
      <c r="J36" s="256">
        <v>452</v>
      </c>
      <c r="K36" s="256">
        <v>418</v>
      </c>
      <c r="L36" s="111"/>
      <c r="M36" s="112">
        <f t="shared" si="1"/>
        <v>2478</v>
      </c>
      <c r="N36" s="110">
        <v>6</v>
      </c>
      <c r="O36" s="110">
        <v>2</v>
      </c>
      <c r="P36" s="110">
        <f>M36-2363</f>
        <v>115</v>
      </c>
      <c r="Q36" s="110">
        <v>2</v>
      </c>
      <c r="R36" s="114">
        <v>1</v>
      </c>
    </row>
    <row r="37" spans="1:18" s="104" customFormat="1" ht="15.75">
      <c r="A37" s="19" t="s">
        <v>158</v>
      </c>
      <c r="B37" s="137" t="s">
        <v>196</v>
      </c>
      <c r="C37" s="101">
        <v>364</v>
      </c>
      <c r="D37" s="323">
        <v>418</v>
      </c>
      <c r="E37" s="101">
        <v>385</v>
      </c>
      <c r="F37" s="323">
        <v>417</v>
      </c>
      <c r="G37" s="101"/>
      <c r="H37" s="101"/>
      <c r="I37" s="101"/>
      <c r="J37" s="323">
        <v>467</v>
      </c>
      <c r="K37" s="323">
        <v>417</v>
      </c>
      <c r="L37" s="101"/>
      <c r="M37" s="102">
        <f t="shared" si="1"/>
        <v>2468</v>
      </c>
      <c r="N37" s="100">
        <v>6</v>
      </c>
      <c r="O37" s="100">
        <v>2</v>
      </c>
      <c r="P37" s="100">
        <v>80</v>
      </c>
      <c r="Q37" s="100">
        <v>2</v>
      </c>
      <c r="R37" s="104">
        <v>1</v>
      </c>
    </row>
    <row r="38" spans="1:20" s="114" customFormat="1" ht="15.75">
      <c r="A38" s="26" t="s">
        <v>159</v>
      </c>
      <c r="B38" s="57" t="s">
        <v>19</v>
      </c>
      <c r="C38" s="111">
        <v>352</v>
      </c>
      <c r="D38" s="256">
        <v>431</v>
      </c>
      <c r="E38" s="111">
        <v>373</v>
      </c>
      <c r="F38" s="111">
        <v>411</v>
      </c>
      <c r="G38" s="111"/>
      <c r="H38" s="111"/>
      <c r="I38" s="111"/>
      <c r="J38" s="256">
        <v>459</v>
      </c>
      <c r="K38" s="256">
        <v>461</v>
      </c>
      <c r="L38" s="111"/>
      <c r="M38" s="112">
        <f t="shared" si="1"/>
        <v>2487</v>
      </c>
      <c r="N38" s="110">
        <v>3</v>
      </c>
      <c r="O38" s="110">
        <v>5</v>
      </c>
      <c r="P38" s="110">
        <v>-91</v>
      </c>
      <c r="Q38" s="110">
        <v>0</v>
      </c>
      <c r="T38" s="114">
        <v>1</v>
      </c>
    </row>
    <row r="39" spans="1:20" s="23" customFormat="1" ht="15.75">
      <c r="A39" s="145" t="s">
        <v>160</v>
      </c>
      <c r="B39" s="153" t="s">
        <v>24</v>
      </c>
      <c r="C39" s="33">
        <v>408</v>
      </c>
      <c r="D39" s="33">
        <v>438</v>
      </c>
      <c r="E39" s="33">
        <v>352</v>
      </c>
      <c r="F39" s="33">
        <v>417</v>
      </c>
      <c r="G39" s="33"/>
      <c r="H39" s="33"/>
      <c r="I39" s="33"/>
      <c r="J39" s="252">
        <v>439</v>
      </c>
      <c r="K39" s="252">
        <v>463</v>
      </c>
      <c r="L39" s="33"/>
      <c r="M39" s="69">
        <f t="shared" si="1"/>
        <v>2517</v>
      </c>
      <c r="N39" s="19">
        <v>2</v>
      </c>
      <c r="O39" s="19">
        <v>6</v>
      </c>
      <c r="P39" s="19">
        <v>-104</v>
      </c>
      <c r="Q39" s="19">
        <v>0</v>
      </c>
      <c r="T39" s="23">
        <v>1</v>
      </c>
    </row>
    <row r="40" spans="1:20" s="114" customFormat="1" ht="15.75">
      <c r="A40" s="26" t="s">
        <v>161</v>
      </c>
      <c r="B40" s="57" t="s">
        <v>17</v>
      </c>
      <c r="C40" s="111">
        <v>356</v>
      </c>
      <c r="D40" s="111">
        <v>420</v>
      </c>
      <c r="E40" s="111">
        <v>386</v>
      </c>
      <c r="F40" s="111">
        <v>420</v>
      </c>
      <c r="G40" s="111"/>
      <c r="H40" s="111"/>
      <c r="I40" s="111"/>
      <c r="J40" s="256">
        <v>448</v>
      </c>
      <c r="K40" s="256">
        <v>423</v>
      </c>
      <c r="L40" s="111"/>
      <c r="M40" s="112">
        <f t="shared" si="1"/>
        <v>2453</v>
      </c>
      <c r="N40" s="110">
        <v>2</v>
      </c>
      <c r="O40" s="110">
        <v>6</v>
      </c>
      <c r="P40" s="110">
        <f>M40-2602</f>
        <v>-149</v>
      </c>
      <c r="Q40" s="110">
        <v>0</v>
      </c>
      <c r="T40" s="114">
        <v>1</v>
      </c>
    </row>
    <row r="41" spans="1:20" s="104" customFormat="1" ht="15.75">
      <c r="A41" s="19" t="s">
        <v>162</v>
      </c>
      <c r="B41" s="137" t="s">
        <v>15</v>
      </c>
      <c r="C41" s="101">
        <v>390</v>
      </c>
      <c r="D41" s="101">
        <v>402</v>
      </c>
      <c r="E41" s="101">
        <v>374</v>
      </c>
      <c r="F41" s="101">
        <v>395</v>
      </c>
      <c r="G41" s="101"/>
      <c r="H41" s="347">
        <v>429</v>
      </c>
      <c r="I41" s="101"/>
      <c r="J41" s="101"/>
      <c r="K41" s="347">
        <v>437</v>
      </c>
      <c r="L41" s="101"/>
      <c r="M41" s="102">
        <f t="shared" si="1"/>
        <v>2427</v>
      </c>
      <c r="N41" s="100">
        <v>2</v>
      </c>
      <c r="O41" s="100">
        <v>6</v>
      </c>
      <c r="P41" s="100">
        <f>M41-2591</f>
        <v>-164</v>
      </c>
      <c r="Q41" s="100">
        <v>0</v>
      </c>
      <c r="T41" s="104">
        <v>1</v>
      </c>
    </row>
    <row r="42" spans="1:20" s="114" customFormat="1" ht="15.75">
      <c r="A42" s="26" t="s">
        <v>163</v>
      </c>
      <c r="B42" s="57" t="s">
        <v>263</v>
      </c>
      <c r="C42" s="111">
        <v>353</v>
      </c>
      <c r="D42" s="111">
        <v>394</v>
      </c>
      <c r="E42" s="111">
        <v>411</v>
      </c>
      <c r="F42" s="111">
        <v>409</v>
      </c>
      <c r="G42" s="111"/>
      <c r="H42" s="111"/>
      <c r="I42" s="111"/>
      <c r="J42" s="256">
        <v>428</v>
      </c>
      <c r="K42" s="256">
        <v>456</v>
      </c>
      <c r="L42" s="111"/>
      <c r="M42" s="112">
        <f t="shared" si="1"/>
        <v>2451</v>
      </c>
      <c r="N42" s="110">
        <v>2</v>
      </c>
      <c r="O42" s="110">
        <v>6</v>
      </c>
      <c r="P42" s="110">
        <v>-127</v>
      </c>
      <c r="Q42" s="110">
        <v>0</v>
      </c>
      <c r="T42" s="114">
        <v>1</v>
      </c>
    </row>
    <row r="43" spans="1:20" s="23" customFormat="1" ht="15.75">
      <c r="A43" s="145" t="s">
        <v>164</v>
      </c>
      <c r="B43" s="153" t="s">
        <v>23</v>
      </c>
      <c r="C43" s="33">
        <v>390</v>
      </c>
      <c r="D43" s="33">
        <v>406</v>
      </c>
      <c r="E43" s="33">
        <v>382</v>
      </c>
      <c r="F43" s="252">
        <v>448</v>
      </c>
      <c r="G43" s="33"/>
      <c r="H43" s="33"/>
      <c r="I43" s="33"/>
      <c r="J43" s="33">
        <v>421</v>
      </c>
      <c r="K43" s="252">
        <v>439</v>
      </c>
      <c r="L43" s="33"/>
      <c r="M43" s="69">
        <f t="shared" si="1"/>
        <v>2486</v>
      </c>
      <c r="N43" s="19">
        <v>2</v>
      </c>
      <c r="O43" s="19">
        <v>6</v>
      </c>
      <c r="P43" s="19">
        <v>-97</v>
      </c>
      <c r="Q43" s="19">
        <v>0</v>
      </c>
      <c r="T43" s="23">
        <v>1</v>
      </c>
    </row>
    <row r="44" spans="1:20" s="114" customFormat="1" ht="15.75">
      <c r="A44" s="26" t="s">
        <v>165</v>
      </c>
      <c r="B44" s="57" t="s">
        <v>260</v>
      </c>
      <c r="C44" s="111">
        <v>402</v>
      </c>
      <c r="D44" s="111">
        <v>391</v>
      </c>
      <c r="E44" s="256">
        <v>414</v>
      </c>
      <c r="F44" s="256">
        <v>437</v>
      </c>
      <c r="G44" s="111">
        <v>341</v>
      </c>
      <c r="H44" s="111"/>
      <c r="I44" s="111"/>
      <c r="J44" s="111"/>
      <c r="K44" s="256">
        <v>411</v>
      </c>
      <c r="L44" s="110"/>
      <c r="M44" s="112">
        <f t="shared" si="1"/>
        <v>2396</v>
      </c>
      <c r="N44" s="110">
        <v>3</v>
      </c>
      <c r="O44" s="110">
        <v>5</v>
      </c>
      <c r="P44" s="110">
        <v>-65</v>
      </c>
      <c r="Q44" s="110">
        <v>0</v>
      </c>
      <c r="T44" s="114">
        <v>1</v>
      </c>
    </row>
    <row r="45" spans="1:19" s="148" customFormat="1" ht="15.75">
      <c r="A45" s="100" t="s">
        <v>265</v>
      </c>
      <c r="B45" s="121" t="s">
        <v>209</v>
      </c>
      <c r="C45" s="289">
        <v>373</v>
      </c>
      <c r="D45" s="289">
        <v>362</v>
      </c>
      <c r="E45" s="289"/>
      <c r="F45" s="289">
        <v>397</v>
      </c>
      <c r="G45" s="289"/>
      <c r="H45" s="289">
        <v>395</v>
      </c>
      <c r="I45" s="289"/>
      <c r="J45" s="361">
        <v>425</v>
      </c>
      <c r="K45" s="282">
        <v>474</v>
      </c>
      <c r="L45" s="145"/>
      <c r="M45" s="147">
        <f t="shared" si="1"/>
        <v>2426</v>
      </c>
      <c r="N45" s="145">
        <v>4</v>
      </c>
      <c r="O45" s="145">
        <v>4</v>
      </c>
      <c r="P45" s="145">
        <f>M45-2365</f>
        <v>61</v>
      </c>
      <c r="Q45" s="145">
        <v>1</v>
      </c>
      <c r="S45" s="148">
        <v>1</v>
      </c>
    </row>
    <row r="46" spans="1:20" s="114" customFormat="1" ht="15.75">
      <c r="A46" s="26" t="s">
        <v>266</v>
      </c>
      <c r="B46" s="57" t="s">
        <v>16</v>
      </c>
      <c r="C46" s="111">
        <v>332</v>
      </c>
      <c r="D46" s="111">
        <v>407</v>
      </c>
      <c r="E46" s="111"/>
      <c r="F46" s="111">
        <v>408</v>
      </c>
      <c r="G46" s="111">
        <v>335</v>
      </c>
      <c r="H46" s="111">
        <v>384</v>
      </c>
      <c r="I46" s="111"/>
      <c r="J46" s="111">
        <v>414</v>
      </c>
      <c r="K46" s="111"/>
      <c r="L46" s="110"/>
      <c r="M46" s="112">
        <f t="shared" si="1"/>
        <v>2280</v>
      </c>
      <c r="N46" s="110">
        <v>0</v>
      </c>
      <c r="O46" s="110">
        <v>8</v>
      </c>
      <c r="P46" s="110">
        <v>-340</v>
      </c>
      <c r="Q46" s="110">
        <v>0</v>
      </c>
      <c r="T46" s="114">
        <v>1</v>
      </c>
    </row>
    <row r="47" spans="1:20" s="104" customFormat="1" ht="15.75">
      <c r="A47" s="19" t="s">
        <v>303</v>
      </c>
      <c r="B47" s="137" t="s">
        <v>205</v>
      </c>
      <c r="C47" s="101">
        <v>373</v>
      </c>
      <c r="D47" s="101">
        <v>407</v>
      </c>
      <c r="E47" s="101">
        <v>390</v>
      </c>
      <c r="F47" s="347">
        <v>422</v>
      </c>
      <c r="G47" s="101"/>
      <c r="H47" s="101">
        <v>358</v>
      </c>
      <c r="I47" s="101"/>
      <c r="J47" s="101"/>
      <c r="K47" s="101">
        <v>394</v>
      </c>
      <c r="L47" s="100"/>
      <c r="M47" s="102">
        <f t="shared" si="1"/>
        <v>2344</v>
      </c>
      <c r="N47" s="100">
        <v>1</v>
      </c>
      <c r="O47" s="100">
        <v>7</v>
      </c>
      <c r="P47" s="100">
        <v>-188</v>
      </c>
      <c r="Q47" s="100">
        <v>0</v>
      </c>
      <c r="T47" s="104">
        <v>1</v>
      </c>
    </row>
    <row r="48" spans="1:20" s="114" customFormat="1" ht="16.5" thickBot="1">
      <c r="A48" s="26" t="s">
        <v>304</v>
      </c>
      <c r="B48" s="57" t="s">
        <v>21</v>
      </c>
      <c r="C48" s="115">
        <v>364</v>
      </c>
      <c r="D48" s="115">
        <v>397</v>
      </c>
      <c r="E48" s="115">
        <v>368</v>
      </c>
      <c r="F48" s="115">
        <v>376</v>
      </c>
      <c r="G48" s="115"/>
      <c r="H48" s="115"/>
      <c r="I48" s="115"/>
      <c r="J48" s="365">
        <v>431</v>
      </c>
      <c r="K48" s="365">
        <v>478</v>
      </c>
      <c r="L48" s="116"/>
      <c r="M48" s="112">
        <f t="shared" si="1"/>
        <v>2414</v>
      </c>
      <c r="N48" s="116">
        <v>2</v>
      </c>
      <c r="O48" s="116">
        <v>6</v>
      </c>
      <c r="P48" s="116">
        <v>-102</v>
      </c>
      <c r="Q48" s="116">
        <v>0</v>
      </c>
      <c r="R48" s="126"/>
      <c r="S48" s="126"/>
      <c r="T48" s="126">
        <v>1</v>
      </c>
    </row>
    <row r="49" spans="3:20" ht="16.5" thickTop="1">
      <c r="C49" s="7">
        <f aca="true" t="shared" si="2" ref="C49:L49">SUM(C32:C48)</f>
        <v>4799</v>
      </c>
      <c r="D49" s="7">
        <f t="shared" si="2"/>
        <v>6471</v>
      </c>
      <c r="E49" s="7">
        <f t="shared" si="2"/>
        <v>5386</v>
      </c>
      <c r="F49" s="7">
        <f t="shared" si="2"/>
        <v>6270</v>
      </c>
      <c r="G49" s="7">
        <f>SUM(G32:G48)</f>
        <v>1014</v>
      </c>
      <c r="H49" s="7">
        <f t="shared" si="2"/>
        <v>2732</v>
      </c>
      <c r="I49" s="7">
        <f t="shared" si="2"/>
        <v>0</v>
      </c>
      <c r="J49" s="7">
        <f t="shared" si="2"/>
        <v>5747</v>
      </c>
      <c r="K49" s="7">
        <f t="shared" si="2"/>
        <v>6575</v>
      </c>
      <c r="L49" s="7">
        <f t="shared" si="2"/>
        <v>0</v>
      </c>
      <c r="N49" s="1">
        <f>SUM(N32:N48)</f>
        <v>44</v>
      </c>
      <c r="O49" s="1">
        <f>SUM(O32:O48)</f>
        <v>84</v>
      </c>
      <c r="P49" s="1">
        <f>SUM(P32:P48)</f>
        <v>-1425</v>
      </c>
      <c r="Q49" s="1">
        <f>SUM(Q32:Q48)</f>
        <v>7</v>
      </c>
      <c r="R49" s="1">
        <f>SUM(R32:R48)+R23</f>
        <v>9</v>
      </c>
      <c r="S49" s="1">
        <f>SUM(S32:S48)+S23</f>
        <v>2</v>
      </c>
      <c r="T49" s="1">
        <f>SUM(T32:T48)+T23</f>
        <v>21</v>
      </c>
    </row>
    <row r="50" spans="2:12" ht="31.5">
      <c r="B50" s="67" t="s">
        <v>250</v>
      </c>
      <c r="C50" s="1">
        <f aca="true" t="shared" si="3" ref="C50:L50">COUNT(C32:C48)</f>
        <v>13</v>
      </c>
      <c r="D50" s="1">
        <f t="shared" si="3"/>
        <v>16</v>
      </c>
      <c r="E50" s="1">
        <f t="shared" si="3"/>
        <v>14</v>
      </c>
      <c r="F50" s="1">
        <f t="shared" si="3"/>
        <v>15</v>
      </c>
      <c r="G50" s="1">
        <f>COUNT(G32:G48)</f>
        <v>3</v>
      </c>
      <c r="H50" s="1">
        <f t="shared" si="3"/>
        <v>7</v>
      </c>
      <c r="I50" s="1">
        <f t="shared" si="3"/>
        <v>0</v>
      </c>
      <c r="J50" s="1">
        <f t="shared" si="3"/>
        <v>13</v>
      </c>
      <c r="K50" s="1">
        <f t="shared" si="3"/>
        <v>15</v>
      </c>
      <c r="L50" s="1">
        <f t="shared" si="3"/>
        <v>0</v>
      </c>
    </row>
    <row r="51" spans="2:20" ht="31.5">
      <c r="B51" s="11" t="s">
        <v>247</v>
      </c>
      <c r="C51" s="16">
        <f aca="true" t="shared" si="4" ref="C51:K51">C49/C50</f>
        <v>369.15384615384613</v>
      </c>
      <c r="D51" s="16">
        <f t="shared" si="4"/>
        <v>404.4375</v>
      </c>
      <c r="E51" s="16">
        <f t="shared" si="4"/>
        <v>384.7142857142857</v>
      </c>
      <c r="F51" s="16">
        <f t="shared" si="4"/>
        <v>418</v>
      </c>
      <c r="G51" s="16">
        <f>G49/G50</f>
        <v>338</v>
      </c>
      <c r="H51" s="16">
        <f t="shared" si="4"/>
        <v>390.2857142857143</v>
      </c>
      <c r="I51" s="16"/>
      <c r="J51" s="16">
        <f t="shared" si="4"/>
        <v>442.0769230769231</v>
      </c>
      <c r="K51" s="16">
        <f t="shared" si="4"/>
        <v>438.3333333333333</v>
      </c>
      <c r="L51" s="16"/>
      <c r="M51" s="3" t="s">
        <v>30</v>
      </c>
      <c r="N51" s="371" t="s">
        <v>115</v>
      </c>
      <c r="O51" s="371"/>
      <c r="P51" s="3" t="s">
        <v>31</v>
      </c>
      <c r="Q51" s="10" t="s">
        <v>116</v>
      </c>
      <c r="S51" s="74" t="s">
        <v>126</v>
      </c>
      <c r="T51" s="74" t="s">
        <v>223</v>
      </c>
    </row>
    <row r="52" spans="13:20" ht="15.75">
      <c r="M52" s="6">
        <f>SUM(M32:M48)+M26</f>
        <v>78476</v>
      </c>
      <c r="N52" s="6">
        <f>SUM(N32:N48)+N26</f>
        <v>99</v>
      </c>
      <c r="O52" s="6">
        <f>SUM(O32:O48)+O26</f>
        <v>157</v>
      </c>
      <c r="P52" s="6">
        <f>SUM(P32:P48)+P26</f>
        <v>-1910</v>
      </c>
      <c r="Q52" s="6">
        <f>SUM(Q32:Q48)+Q26</f>
        <v>20</v>
      </c>
      <c r="S52" s="56">
        <f>N52-O52</f>
        <v>-58</v>
      </c>
      <c r="T52" s="2">
        <f>SUM(R49:T49)</f>
        <v>32</v>
      </c>
    </row>
    <row r="54" spans="13:14" ht="15.75">
      <c r="M54" s="1" t="s">
        <v>128</v>
      </c>
      <c r="N54" s="18">
        <f>M52/T52</f>
        <v>2452.375</v>
      </c>
    </row>
  </sheetData>
  <sheetProtection/>
  <mergeCells count="9">
    <mergeCell ref="N51:O51"/>
    <mergeCell ref="E1:F1"/>
    <mergeCell ref="N4:O4"/>
    <mergeCell ref="C28:D28"/>
    <mergeCell ref="N25:O25"/>
    <mergeCell ref="I1:J1"/>
    <mergeCell ref="F28:H28"/>
    <mergeCell ref="J28:K28"/>
    <mergeCell ref="C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U53"/>
  <sheetViews>
    <sheetView zoomScale="90" zoomScaleNormal="90" zoomScalePageLayoutView="0" workbookViewId="0" topLeftCell="B28">
      <selection activeCell="Q48" sqref="Q48"/>
    </sheetView>
  </sheetViews>
  <sheetFormatPr defaultColWidth="9.00390625" defaultRowHeight="12.75"/>
  <cols>
    <col min="1" max="1" width="11.25390625" style="4" bestFit="1" customWidth="1"/>
    <col min="2" max="2" width="14.75390625" style="4" bestFit="1" customWidth="1"/>
    <col min="3" max="3" width="10.625" style="4" customWidth="1"/>
    <col min="4" max="5" width="7.25390625" style="4" customWidth="1"/>
    <col min="6" max="6" width="11.00390625" style="4" customWidth="1"/>
    <col min="7" max="7" width="6.75390625" style="4" bestFit="1" customWidth="1"/>
    <col min="8" max="8" width="7.25390625" style="4" bestFit="1" customWidth="1"/>
    <col min="9" max="9" width="9.625" style="4" customWidth="1"/>
    <col min="10" max="10" width="9.75390625" style="4" customWidth="1"/>
    <col min="11" max="12" width="11.125" style="4" customWidth="1"/>
    <col min="13" max="13" width="12.00390625" style="4" customWidth="1"/>
    <col min="14" max="14" width="18.25390625" style="1" bestFit="1" customWidth="1"/>
    <col min="15" max="15" width="16.375" style="1" customWidth="1"/>
    <col min="16" max="16" width="10.375" style="1" customWidth="1"/>
    <col min="17" max="17" width="13.375" style="1" customWidth="1"/>
    <col min="18" max="18" width="11.875" style="1" customWidth="1"/>
    <col min="20" max="20" width="12.00390625" style="0" customWidth="1"/>
    <col min="21" max="21" width="10.75390625" style="0" customWidth="1"/>
  </cols>
  <sheetData>
    <row r="1" spans="1:18" ht="15.75">
      <c r="A1" s="58" t="s">
        <v>141</v>
      </c>
      <c r="B1" s="59"/>
      <c r="C1" s="59" t="s">
        <v>202</v>
      </c>
      <c r="D1" s="59" t="s">
        <v>203</v>
      </c>
      <c r="E1" s="59"/>
      <c r="F1" s="59"/>
      <c r="G1" s="59"/>
      <c r="H1" s="372" t="s">
        <v>204</v>
      </c>
      <c r="I1" s="372"/>
      <c r="J1" s="372"/>
      <c r="K1" s="368" t="s">
        <v>151</v>
      </c>
      <c r="L1" s="368"/>
      <c r="M1" s="368"/>
      <c r="N1" s="11" t="s">
        <v>152</v>
      </c>
      <c r="O1" s="13" t="s">
        <v>126</v>
      </c>
      <c r="Q1" s="225" t="s">
        <v>128</v>
      </c>
      <c r="R1" s="18">
        <f>N26/U26</f>
        <v>2428.625</v>
      </c>
    </row>
    <row r="2" spans="11:18" ht="15.75">
      <c r="K2" s="6">
        <f>O26+O51</f>
        <v>111</v>
      </c>
      <c r="L2" s="6"/>
      <c r="M2" s="6">
        <f>P26+P51</f>
        <v>145</v>
      </c>
      <c r="N2" s="6">
        <f>R26+R48</f>
        <v>23</v>
      </c>
      <c r="O2" s="6">
        <f>K2-M2</f>
        <v>-34</v>
      </c>
      <c r="Q2" s="225" t="s">
        <v>234</v>
      </c>
      <c r="R2" s="6">
        <f>N7+N9+N11+N13+N15+N17+N19+N22</f>
        <v>19802</v>
      </c>
    </row>
    <row r="4" spans="3:21" ht="15.75">
      <c r="C4" s="380" t="s">
        <v>27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O4" s="371" t="s">
        <v>28</v>
      </c>
      <c r="P4" s="371"/>
      <c r="S4" s="2"/>
      <c r="T4" s="2"/>
      <c r="U4" s="2"/>
    </row>
    <row r="5" spans="2:21" ht="35.25" customHeight="1" thickBot="1">
      <c r="B5" s="5" t="s">
        <v>25</v>
      </c>
      <c r="C5" s="223" t="s">
        <v>213</v>
      </c>
      <c r="D5" s="223" t="s">
        <v>259</v>
      </c>
      <c r="E5" s="223"/>
      <c r="F5" s="223" t="s">
        <v>305</v>
      </c>
      <c r="G5" s="223" t="s">
        <v>214</v>
      </c>
      <c r="H5" s="223" t="s">
        <v>117</v>
      </c>
      <c r="I5" s="223" t="s">
        <v>53</v>
      </c>
      <c r="J5" s="223" t="s">
        <v>217</v>
      </c>
      <c r="K5" s="223" t="s">
        <v>215</v>
      </c>
      <c r="L5" s="223"/>
      <c r="M5" s="223" t="s">
        <v>216</v>
      </c>
      <c r="N5" s="3" t="s">
        <v>30</v>
      </c>
      <c r="O5" s="3" t="s">
        <v>209</v>
      </c>
      <c r="P5" s="3" t="s">
        <v>29</v>
      </c>
      <c r="Q5" s="3" t="s">
        <v>31</v>
      </c>
      <c r="R5" s="10" t="s">
        <v>114</v>
      </c>
      <c r="S5" s="2" t="s">
        <v>184</v>
      </c>
      <c r="T5" s="2" t="s">
        <v>185</v>
      </c>
      <c r="U5" s="2" t="s">
        <v>186</v>
      </c>
    </row>
    <row r="6" spans="1:21" s="104" customFormat="1" ht="15.75">
      <c r="A6" s="34" t="s">
        <v>0</v>
      </c>
      <c r="B6" s="137" t="s">
        <v>205</v>
      </c>
      <c r="C6" s="44"/>
      <c r="D6" s="42">
        <v>362</v>
      </c>
      <c r="E6" s="42"/>
      <c r="F6" s="42"/>
      <c r="G6" s="42">
        <v>367</v>
      </c>
      <c r="H6" s="44"/>
      <c r="I6" s="249">
        <v>415</v>
      </c>
      <c r="J6" s="249">
        <v>405</v>
      </c>
      <c r="K6" s="249">
        <v>395</v>
      </c>
      <c r="L6" s="249"/>
      <c r="M6" s="44">
        <v>357</v>
      </c>
      <c r="N6" s="189">
        <f aca="true" t="shared" si="0" ref="N6:N22">SUM(C6:M6)</f>
        <v>2301</v>
      </c>
      <c r="O6" s="100">
        <v>3</v>
      </c>
      <c r="P6" s="100">
        <v>5</v>
      </c>
      <c r="Q6" s="100">
        <v>-34</v>
      </c>
      <c r="R6" s="100">
        <v>0</v>
      </c>
      <c r="S6" s="103"/>
      <c r="T6" s="103"/>
      <c r="U6" s="103">
        <v>1</v>
      </c>
    </row>
    <row r="7" spans="1:21" s="114" customFormat="1" ht="15.75">
      <c r="A7" s="32" t="s">
        <v>1</v>
      </c>
      <c r="B7" s="57" t="s">
        <v>21</v>
      </c>
      <c r="C7" s="47">
        <v>387</v>
      </c>
      <c r="D7" s="43">
        <v>375</v>
      </c>
      <c r="E7" s="43"/>
      <c r="F7" s="43"/>
      <c r="G7" s="43"/>
      <c r="H7" s="47">
        <v>427</v>
      </c>
      <c r="I7" s="251">
        <v>474</v>
      </c>
      <c r="J7" s="47">
        <v>400</v>
      </c>
      <c r="K7" s="251">
        <v>452</v>
      </c>
      <c r="L7" s="251"/>
      <c r="M7" s="47"/>
      <c r="N7" s="186">
        <f t="shared" si="0"/>
        <v>2515</v>
      </c>
      <c r="O7" s="110">
        <v>2</v>
      </c>
      <c r="P7" s="110">
        <v>6</v>
      </c>
      <c r="Q7" s="110">
        <v>-54</v>
      </c>
      <c r="R7" s="110">
        <v>0</v>
      </c>
      <c r="S7" s="113"/>
      <c r="T7" s="113"/>
      <c r="U7" s="113">
        <v>1</v>
      </c>
    </row>
    <row r="8" spans="1:21" s="23" customFormat="1" ht="15.75">
      <c r="A8" s="222" t="s">
        <v>2</v>
      </c>
      <c r="B8" s="153" t="s">
        <v>26</v>
      </c>
      <c r="C8" s="160"/>
      <c r="D8" s="146"/>
      <c r="E8" s="146"/>
      <c r="F8" s="146"/>
      <c r="G8" s="146">
        <v>354</v>
      </c>
      <c r="H8" s="160">
        <v>407</v>
      </c>
      <c r="I8" s="262">
        <v>423</v>
      </c>
      <c r="J8" s="262">
        <v>412</v>
      </c>
      <c r="K8" s="262">
        <v>439</v>
      </c>
      <c r="L8" s="262"/>
      <c r="M8" s="160">
        <v>382</v>
      </c>
      <c r="N8" s="36">
        <f t="shared" si="0"/>
        <v>2417</v>
      </c>
      <c r="O8" s="19">
        <v>3</v>
      </c>
      <c r="P8" s="19">
        <v>5</v>
      </c>
      <c r="Q8" s="21">
        <v>-56</v>
      </c>
      <c r="R8" s="19">
        <v>0</v>
      </c>
      <c r="S8" s="22"/>
      <c r="T8" s="22"/>
      <c r="U8" s="22">
        <v>1</v>
      </c>
    </row>
    <row r="9" spans="1:21" s="114" customFormat="1" ht="15.75">
      <c r="A9" s="32" t="s">
        <v>3</v>
      </c>
      <c r="B9" s="57" t="s">
        <v>208</v>
      </c>
      <c r="C9" s="47">
        <v>396</v>
      </c>
      <c r="D9" s="43">
        <v>189</v>
      </c>
      <c r="E9" s="43"/>
      <c r="F9" s="43"/>
      <c r="G9" s="43">
        <v>397</v>
      </c>
      <c r="H9" s="47"/>
      <c r="I9" s="251">
        <v>484</v>
      </c>
      <c r="J9" s="251">
        <v>421</v>
      </c>
      <c r="K9" s="251">
        <v>408</v>
      </c>
      <c r="L9" s="251"/>
      <c r="M9" s="47">
        <v>207</v>
      </c>
      <c r="N9" s="186">
        <f t="shared" si="0"/>
        <v>2502</v>
      </c>
      <c r="O9" s="110">
        <v>3</v>
      </c>
      <c r="P9" s="110">
        <v>5</v>
      </c>
      <c r="Q9" s="109">
        <v>-12</v>
      </c>
      <c r="R9" s="110">
        <v>0</v>
      </c>
      <c r="S9" s="113"/>
      <c r="T9" s="113"/>
      <c r="U9" s="113">
        <v>1</v>
      </c>
    </row>
    <row r="10" spans="1:21" s="148" customFormat="1" ht="15.75">
      <c r="A10" s="136" t="s">
        <v>4</v>
      </c>
      <c r="B10" s="121" t="s">
        <v>211</v>
      </c>
      <c r="C10" s="249">
        <v>412</v>
      </c>
      <c r="D10" s="42">
        <v>360</v>
      </c>
      <c r="E10" s="42"/>
      <c r="F10" s="42"/>
      <c r="G10" s="42"/>
      <c r="H10" s="249">
        <v>426</v>
      </c>
      <c r="I10" s="249">
        <v>422</v>
      </c>
      <c r="J10" s="44">
        <v>371</v>
      </c>
      <c r="K10" s="249">
        <v>436</v>
      </c>
      <c r="L10" s="249"/>
      <c r="M10" s="129"/>
      <c r="N10" s="190">
        <f t="shared" si="0"/>
        <v>2427</v>
      </c>
      <c r="O10" s="145">
        <v>6</v>
      </c>
      <c r="P10" s="145">
        <v>2</v>
      </c>
      <c r="Q10" s="21">
        <v>68</v>
      </c>
      <c r="R10" s="19">
        <v>2</v>
      </c>
      <c r="S10" s="22">
        <v>1</v>
      </c>
      <c r="T10" s="176"/>
      <c r="U10" s="176"/>
    </row>
    <row r="11" spans="1:21" s="30" customFormat="1" ht="15.75">
      <c r="A11" s="32" t="s">
        <v>5</v>
      </c>
      <c r="B11" s="57" t="s">
        <v>20</v>
      </c>
      <c r="C11" s="117">
        <v>417</v>
      </c>
      <c r="D11" s="118"/>
      <c r="E11" s="118"/>
      <c r="F11" s="118"/>
      <c r="G11" s="118"/>
      <c r="H11" s="266">
        <v>429</v>
      </c>
      <c r="I11" s="266">
        <v>428</v>
      </c>
      <c r="J11" s="135">
        <v>386</v>
      </c>
      <c r="K11" s="266">
        <v>418</v>
      </c>
      <c r="L11" s="266"/>
      <c r="M11" s="135">
        <v>412</v>
      </c>
      <c r="N11" s="40">
        <f t="shared" si="0"/>
        <v>2490</v>
      </c>
      <c r="O11" s="26">
        <v>5</v>
      </c>
      <c r="P11" s="26">
        <v>3</v>
      </c>
      <c r="Q11" s="26">
        <v>19</v>
      </c>
      <c r="R11" s="26">
        <v>2</v>
      </c>
      <c r="S11" s="29">
        <v>1</v>
      </c>
      <c r="T11" s="29"/>
      <c r="U11" s="29"/>
    </row>
    <row r="12" spans="1:21" s="104" customFormat="1" ht="15.75">
      <c r="A12" s="34" t="s">
        <v>6</v>
      </c>
      <c r="B12" s="137" t="s">
        <v>22</v>
      </c>
      <c r="C12" s="249">
        <v>416</v>
      </c>
      <c r="D12" s="42"/>
      <c r="E12" s="42"/>
      <c r="F12" s="42"/>
      <c r="G12" s="42">
        <v>376</v>
      </c>
      <c r="H12" s="44">
        <v>376</v>
      </c>
      <c r="I12" s="249">
        <v>469</v>
      </c>
      <c r="J12" s="44"/>
      <c r="K12" s="249">
        <v>409</v>
      </c>
      <c r="L12" s="249"/>
      <c r="M12" s="44">
        <v>397</v>
      </c>
      <c r="N12" s="189">
        <f t="shared" si="0"/>
        <v>2443</v>
      </c>
      <c r="O12" s="100">
        <v>5</v>
      </c>
      <c r="P12" s="100">
        <v>3</v>
      </c>
      <c r="Q12" s="154">
        <v>68</v>
      </c>
      <c r="R12" s="100">
        <v>2</v>
      </c>
      <c r="S12" s="103">
        <v>1</v>
      </c>
      <c r="T12" s="103"/>
      <c r="U12" s="103"/>
    </row>
    <row r="13" spans="1:21" s="30" customFormat="1" ht="15.75">
      <c r="A13" s="125" t="s">
        <v>7</v>
      </c>
      <c r="B13" s="123" t="s">
        <v>196</v>
      </c>
      <c r="C13" s="266">
        <v>404</v>
      </c>
      <c r="D13" s="118">
        <v>194</v>
      </c>
      <c r="E13" s="118"/>
      <c r="F13" s="118"/>
      <c r="G13" s="118">
        <v>388</v>
      </c>
      <c r="H13" s="135">
        <v>178</v>
      </c>
      <c r="I13" s="266">
        <v>426</v>
      </c>
      <c r="J13" s="266">
        <v>226</v>
      </c>
      <c r="K13" s="266">
        <v>422</v>
      </c>
      <c r="L13" s="266"/>
      <c r="M13" s="266">
        <v>191</v>
      </c>
      <c r="N13" s="40">
        <f t="shared" si="0"/>
        <v>2429</v>
      </c>
      <c r="O13" s="26">
        <v>6</v>
      </c>
      <c r="P13" s="26">
        <v>2</v>
      </c>
      <c r="Q13" s="28">
        <v>27</v>
      </c>
      <c r="R13" s="26">
        <v>2</v>
      </c>
      <c r="S13" s="29">
        <v>1</v>
      </c>
      <c r="T13" s="29"/>
      <c r="U13" s="29"/>
    </row>
    <row r="14" spans="1:21" s="104" customFormat="1" ht="15.75">
      <c r="A14" s="222" t="s">
        <v>8</v>
      </c>
      <c r="B14" s="153" t="s">
        <v>19</v>
      </c>
      <c r="C14" s="160"/>
      <c r="D14" s="160"/>
      <c r="E14" s="160"/>
      <c r="F14" s="160"/>
      <c r="G14" s="160">
        <v>388</v>
      </c>
      <c r="H14" s="160">
        <v>356</v>
      </c>
      <c r="I14" s="262">
        <v>429</v>
      </c>
      <c r="J14" s="44">
        <v>370</v>
      </c>
      <c r="K14" s="249">
        <v>422</v>
      </c>
      <c r="L14" s="249"/>
      <c r="M14" s="44">
        <v>369</v>
      </c>
      <c r="N14" s="189">
        <f t="shared" si="0"/>
        <v>2334</v>
      </c>
      <c r="O14" s="100">
        <v>2</v>
      </c>
      <c r="P14" s="100">
        <v>6</v>
      </c>
      <c r="Q14" s="154">
        <f>N14-2427</f>
        <v>-93</v>
      </c>
      <c r="R14" s="100">
        <v>0</v>
      </c>
      <c r="S14" s="103"/>
      <c r="T14" s="103"/>
      <c r="U14" s="103">
        <v>1</v>
      </c>
    </row>
    <row r="15" spans="1:21" s="114" customFormat="1" ht="15.75">
      <c r="A15" s="32" t="s">
        <v>9</v>
      </c>
      <c r="B15" s="57" t="s">
        <v>24</v>
      </c>
      <c r="C15" s="47">
        <v>395</v>
      </c>
      <c r="D15" s="43">
        <v>186</v>
      </c>
      <c r="E15" s="43"/>
      <c r="F15" s="43"/>
      <c r="G15" s="43">
        <v>189</v>
      </c>
      <c r="H15" s="47">
        <v>210</v>
      </c>
      <c r="I15" s="251">
        <v>440</v>
      </c>
      <c r="J15" s="243">
        <v>453</v>
      </c>
      <c r="K15" s="251">
        <v>475</v>
      </c>
      <c r="L15" s="251"/>
      <c r="M15" s="47">
        <v>155</v>
      </c>
      <c r="N15" s="186">
        <f t="shared" si="0"/>
        <v>2503</v>
      </c>
      <c r="O15" s="110">
        <v>3</v>
      </c>
      <c r="P15" s="110">
        <v>5</v>
      </c>
      <c r="Q15" s="109">
        <v>-86</v>
      </c>
      <c r="R15" s="110">
        <v>0</v>
      </c>
      <c r="S15" s="113"/>
      <c r="T15" s="113"/>
      <c r="U15" s="113">
        <v>1</v>
      </c>
    </row>
    <row r="16" spans="1:21" s="23" customFormat="1" ht="15.75">
      <c r="A16" s="222" t="s">
        <v>10</v>
      </c>
      <c r="B16" s="153" t="s">
        <v>17</v>
      </c>
      <c r="C16" s="137">
        <v>349</v>
      </c>
      <c r="D16" s="137"/>
      <c r="E16" s="137"/>
      <c r="F16" s="137"/>
      <c r="G16" s="244">
        <v>398</v>
      </c>
      <c r="H16" s="137"/>
      <c r="I16" s="244">
        <v>402</v>
      </c>
      <c r="J16" s="244">
        <v>425</v>
      </c>
      <c r="K16" s="244">
        <v>420</v>
      </c>
      <c r="L16" s="244"/>
      <c r="M16" s="137">
        <v>391</v>
      </c>
      <c r="N16" s="36">
        <f>SUM(C16:M16)</f>
        <v>2385</v>
      </c>
      <c r="O16" s="19">
        <v>4</v>
      </c>
      <c r="P16" s="19">
        <v>4</v>
      </c>
      <c r="Q16" s="21">
        <v>-11</v>
      </c>
      <c r="R16" s="19">
        <v>1</v>
      </c>
      <c r="S16" s="22"/>
      <c r="T16" s="22">
        <v>1</v>
      </c>
      <c r="U16" s="22"/>
    </row>
    <row r="17" spans="1:21" s="114" customFormat="1" ht="15.75">
      <c r="A17" s="32" t="s">
        <v>11</v>
      </c>
      <c r="B17" s="57" t="s">
        <v>15</v>
      </c>
      <c r="C17" s="160">
        <v>403</v>
      </c>
      <c r="D17" s="146"/>
      <c r="E17" s="146"/>
      <c r="F17" s="146"/>
      <c r="G17" s="146">
        <v>397</v>
      </c>
      <c r="H17" s="160"/>
      <c r="I17" s="160">
        <v>412</v>
      </c>
      <c r="J17" s="160">
        <v>398</v>
      </c>
      <c r="K17" s="262">
        <v>430</v>
      </c>
      <c r="L17" s="262"/>
      <c r="M17" s="160">
        <v>404</v>
      </c>
      <c r="N17" s="186">
        <f t="shared" si="0"/>
        <v>2444</v>
      </c>
      <c r="O17" s="110">
        <v>1</v>
      </c>
      <c r="P17" s="110">
        <v>7</v>
      </c>
      <c r="Q17" s="110">
        <v>-124</v>
      </c>
      <c r="R17" s="110">
        <v>0</v>
      </c>
      <c r="S17" s="113"/>
      <c r="T17" s="113"/>
      <c r="U17" s="113">
        <v>1</v>
      </c>
    </row>
    <row r="18" spans="1:21" s="148" customFormat="1" ht="15.75">
      <c r="A18" s="136" t="s">
        <v>12</v>
      </c>
      <c r="B18" s="121" t="s">
        <v>263</v>
      </c>
      <c r="C18" s="129">
        <v>380</v>
      </c>
      <c r="D18" s="120"/>
      <c r="E18" s="120"/>
      <c r="F18" s="120"/>
      <c r="G18" s="258">
        <v>402</v>
      </c>
      <c r="H18" s="129"/>
      <c r="I18" s="254">
        <v>425</v>
      </c>
      <c r="J18" s="254">
        <v>398</v>
      </c>
      <c r="K18" s="254">
        <v>420</v>
      </c>
      <c r="L18" s="254"/>
      <c r="M18" s="254">
        <v>410</v>
      </c>
      <c r="N18" s="190">
        <f t="shared" si="0"/>
        <v>2435</v>
      </c>
      <c r="O18" s="145">
        <v>7</v>
      </c>
      <c r="P18" s="145">
        <v>1</v>
      </c>
      <c r="Q18" s="145">
        <v>159</v>
      </c>
      <c r="R18" s="145">
        <v>2</v>
      </c>
      <c r="S18" s="176">
        <v>1</v>
      </c>
      <c r="T18" s="176"/>
      <c r="U18" s="176"/>
    </row>
    <row r="19" spans="1:21" s="114" customFormat="1" ht="15.75">
      <c r="A19" s="32" t="s">
        <v>13</v>
      </c>
      <c r="B19" s="57" t="s">
        <v>23</v>
      </c>
      <c r="C19" s="47">
        <v>198</v>
      </c>
      <c r="D19" s="43"/>
      <c r="E19" s="43"/>
      <c r="F19" s="43"/>
      <c r="G19" s="43">
        <v>390</v>
      </c>
      <c r="H19" s="47">
        <v>204</v>
      </c>
      <c r="I19" s="251">
        <v>461</v>
      </c>
      <c r="J19" s="47">
        <v>398</v>
      </c>
      <c r="K19" s="251">
        <v>428</v>
      </c>
      <c r="L19" s="251"/>
      <c r="M19" s="47">
        <v>396</v>
      </c>
      <c r="N19" s="186">
        <f t="shared" si="0"/>
        <v>2475</v>
      </c>
      <c r="O19" s="110">
        <v>2</v>
      </c>
      <c r="P19" s="110">
        <v>6</v>
      </c>
      <c r="Q19" s="110">
        <v>-99</v>
      </c>
      <c r="R19" s="110">
        <v>0</v>
      </c>
      <c r="S19" s="113"/>
      <c r="T19" s="113"/>
      <c r="U19" s="113">
        <v>1</v>
      </c>
    </row>
    <row r="20" spans="1:21" s="104" customFormat="1" ht="15.75">
      <c r="A20" s="34" t="s">
        <v>14</v>
      </c>
      <c r="B20" s="137" t="s">
        <v>260</v>
      </c>
      <c r="C20" s="249">
        <v>412</v>
      </c>
      <c r="D20" s="42"/>
      <c r="E20" s="42"/>
      <c r="F20" s="42"/>
      <c r="G20" s="244">
        <v>395</v>
      </c>
      <c r="H20" s="44">
        <v>378</v>
      </c>
      <c r="I20" s="44">
        <v>384</v>
      </c>
      <c r="J20" s="44">
        <v>375</v>
      </c>
      <c r="K20" s="44"/>
      <c r="L20" s="44"/>
      <c r="M20" s="44">
        <v>370</v>
      </c>
      <c r="N20" s="190">
        <f t="shared" si="0"/>
        <v>2314</v>
      </c>
      <c r="O20" s="100">
        <v>2</v>
      </c>
      <c r="P20" s="100">
        <v>6</v>
      </c>
      <c r="Q20" s="154">
        <f>N20-2481</f>
        <v>-167</v>
      </c>
      <c r="R20" s="100">
        <v>0</v>
      </c>
      <c r="S20" s="103"/>
      <c r="T20" s="103"/>
      <c r="U20" s="103">
        <v>1</v>
      </c>
    </row>
    <row r="21" spans="1:21" s="114" customFormat="1" ht="15.75">
      <c r="A21" s="32" t="s">
        <v>261</v>
      </c>
      <c r="B21" s="57" t="s">
        <v>255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6"/>
      <c r="N21" s="186" t="s">
        <v>255</v>
      </c>
      <c r="O21" s="191"/>
      <c r="P21" s="191"/>
      <c r="Q21" s="191"/>
      <c r="R21" s="191"/>
      <c r="S21" s="193"/>
      <c r="T21" s="193"/>
      <c r="U21" s="193"/>
    </row>
    <row r="22" spans="1:21" s="114" customFormat="1" ht="16.5" thickBot="1">
      <c r="A22" s="32" t="s">
        <v>262</v>
      </c>
      <c r="B22" s="57" t="s">
        <v>16</v>
      </c>
      <c r="C22" s="45">
        <v>212</v>
      </c>
      <c r="D22" s="45">
        <v>416</v>
      </c>
      <c r="E22" s="45"/>
      <c r="F22" s="45">
        <v>189</v>
      </c>
      <c r="G22" s="45">
        <v>412</v>
      </c>
      <c r="H22" s="45">
        <v>406</v>
      </c>
      <c r="I22" s="286">
        <v>438</v>
      </c>
      <c r="J22" s="45">
        <v>371</v>
      </c>
      <c r="K22" s="45"/>
      <c r="L22" s="45"/>
      <c r="M22" s="45"/>
      <c r="N22" s="187">
        <f t="shared" si="0"/>
        <v>2444</v>
      </c>
      <c r="O22" s="116">
        <v>1</v>
      </c>
      <c r="P22" s="116">
        <v>7</v>
      </c>
      <c r="Q22" s="116">
        <v>-139</v>
      </c>
      <c r="R22" s="116">
        <v>0</v>
      </c>
      <c r="S22" s="128"/>
      <c r="T22" s="128"/>
      <c r="U22" s="128">
        <v>1</v>
      </c>
    </row>
    <row r="23" spans="3:21" ht="16.5" thickTop="1">
      <c r="C23" s="7">
        <f>SUM(C6:C7)+SUM(C8:C18)+SUM(C20:C21)</f>
        <v>4371</v>
      </c>
      <c r="D23" s="7">
        <f>SUM(D6:D8)+SUM(D10:D12)+SUM(D17:D22)</f>
        <v>1513</v>
      </c>
      <c r="E23" s="7"/>
      <c r="F23" s="7"/>
      <c r="G23" s="7">
        <f>SUM(G6:G9)+SUM(G10:G14)+SUM(G16:G22)</f>
        <v>4664</v>
      </c>
      <c r="H23" s="7">
        <f>SUM(H6:H8)+SUM(H10:H12)+SUM(H20:H22)+H14</f>
        <v>3205</v>
      </c>
      <c r="I23" s="7">
        <f>SUM(I6:I22)</f>
        <v>6932</v>
      </c>
      <c r="J23" s="7">
        <f>SUM(J6:J8)+SUM(J9:J12)+SUM(J14:J22)</f>
        <v>5583</v>
      </c>
      <c r="K23" s="7">
        <f>SUM(K6:K22)</f>
        <v>5974</v>
      </c>
      <c r="L23" s="7"/>
      <c r="M23" s="7">
        <f>SUM(M6:M8)+SUM(M10:M12)+SUM(M16:M22)+M14</f>
        <v>3888</v>
      </c>
      <c r="S23" s="2">
        <f>SUM(S6:S22)</f>
        <v>5</v>
      </c>
      <c r="T23" s="2">
        <f>SUM(T6:T22)</f>
        <v>1</v>
      </c>
      <c r="U23" s="2">
        <f>SUM(U6:U22)</f>
        <v>10</v>
      </c>
    </row>
    <row r="24" spans="2:13" ht="15.75">
      <c r="B24" s="1" t="s">
        <v>225</v>
      </c>
      <c r="C24" s="7">
        <f>COUNT(C6:C7)+COUNT(C8:C18)+COUNT(C20:C21)</f>
        <v>11</v>
      </c>
      <c r="D24" s="7">
        <f>COUNT(D6:D8)+COUNT(D10:D12)+COUNT(D17:D22)</f>
        <v>4</v>
      </c>
      <c r="E24" s="7"/>
      <c r="F24" s="7"/>
      <c r="G24" s="7">
        <f>COUNT(G6:G9)+COUNT(G10:G14)+COUNT(G16:G22)</f>
        <v>12</v>
      </c>
      <c r="H24" s="7">
        <f>COUNT(H6:H8)+COUNT(H10:H12)+COUNT(H20:H22)+COUNT(H14)</f>
        <v>8</v>
      </c>
      <c r="I24" s="7">
        <f>COUNT(I6:I22)</f>
        <v>16</v>
      </c>
      <c r="J24" s="7">
        <f>COUNT(J6:J8)+COUNT(J9:J12)+COUNT(J14:J22)</f>
        <v>14</v>
      </c>
      <c r="K24" s="7">
        <f>COUNT(K6:K22)</f>
        <v>14</v>
      </c>
      <c r="L24" s="7"/>
      <c r="M24" s="7">
        <f>COUNT(M6:M8)+COUNT(M10:M12)+COUNT(M16:M22)+COUNT(M14)</f>
        <v>10</v>
      </c>
    </row>
    <row r="25" spans="2:21" ht="31.5">
      <c r="B25" s="11" t="s">
        <v>127</v>
      </c>
      <c r="C25" s="17">
        <f>C23/C24</f>
        <v>397.3636363636364</v>
      </c>
      <c r="D25" s="17">
        <f>D23/D24</f>
        <v>378.25</v>
      </c>
      <c r="E25" s="17"/>
      <c r="F25" s="17"/>
      <c r="G25" s="17">
        <f>G23/G24</f>
        <v>388.6666666666667</v>
      </c>
      <c r="H25" s="17">
        <f>H23/H24</f>
        <v>400.625</v>
      </c>
      <c r="I25" s="17">
        <f>AVERAGE(I6:I22)</f>
        <v>433.25</v>
      </c>
      <c r="J25" s="17">
        <f>J23/J24</f>
        <v>398.7857142857143</v>
      </c>
      <c r="K25" s="17">
        <f>AVERAGE(K6:K22)</f>
        <v>426.7142857142857</v>
      </c>
      <c r="L25" s="17"/>
      <c r="M25" s="17">
        <f>M23/M24</f>
        <v>388.8</v>
      </c>
      <c r="N25" s="3" t="s">
        <v>30</v>
      </c>
      <c r="O25" s="371" t="s">
        <v>115</v>
      </c>
      <c r="P25" s="371"/>
      <c r="Q25" s="3" t="s">
        <v>31</v>
      </c>
      <c r="R25" s="10" t="s">
        <v>116</v>
      </c>
      <c r="T25" s="74" t="s">
        <v>126</v>
      </c>
      <c r="U25" s="74" t="s">
        <v>223</v>
      </c>
    </row>
    <row r="26" spans="14:21" ht="15.75">
      <c r="N26" s="6">
        <f>SUM(N6:N22)</f>
        <v>38858</v>
      </c>
      <c r="O26" s="1">
        <f>SUM(O6:O22)</f>
        <v>55</v>
      </c>
      <c r="P26" s="1">
        <f>SUM(P6:P22)</f>
        <v>73</v>
      </c>
      <c r="Q26" s="1">
        <f>SUM(Q6:Q22)</f>
        <v>-534</v>
      </c>
      <c r="R26" s="1">
        <f>SUM(R6:R22)</f>
        <v>11</v>
      </c>
      <c r="T26" s="2">
        <f>O26-P26</f>
        <v>-18</v>
      </c>
      <c r="U26" s="2">
        <f>SUM(S23:U23)</f>
        <v>16</v>
      </c>
    </row>
    <row r="27" spans="3:14" ht="15.75">
      <c r="C27" s="377" t="s">
        <v>39</v>
      </c>
      <c r="D27" s="377"/>
      <c r="E27" s="55"/>
      <c r="F27" s="55"/>
      <c r="G27" s="55"/>
      <c r="I27" s="375" t="s">
        <v>132</v>
      </c>
      <c r="J27" s="375"/>
      <c r="M27" s="376" t="s">
        <v>133</v>
      </c>
      <c r="N27" s="376"/>
    </row>
    <row r="28" spans="1:21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226"/>
      <c r="T28" s="226"/>
      <c r="U28" s="226"/>
    </row>
    <row r="29" ht="15.75">
      <c r="J29" s="15"/>
    </row>
    <row r="30" spans="2:21" ht="39" customHeight="1" thickBot="1">
      <c r="B30" s="5" t="s">
        <v>25</v>
      </c>
      <c r="C30" s="223" t="s">
        <v>213</v>
      </c>
      <c r="D30" s="223" t="s">
        <v>259</v>
      </c>
      <c r="E30" s="333" t="s">
        <v>309</v>
      </c>
      <c r="F30" s="223" t="s">
        <v>305</v>
      </c>
      <c r="G30" s="223" t="s">
        <v>214</v>
      </c>
      <c r="H30" s="223" t="s">
        <v>117</v>
      </c>
      <c r="I30" s="223" t="s">
        <v>53</v>
      </c>
      <c r="J30" s="223" t="s">
        <v>217</v>
      </c>
      <c r="K30" s="223" t="s">
        <v>215</v>
      </c>
      <c r="L30" s="335" t="s">
        <v>311</v>
      </c>
      <c r="M30" s="223" t="s">
        <v>216</v>
      </c>
      <c r="N30" s="3" t="s">
        <v>30</v>
      </c>
      <c r="O30" s="3" t="s">
        <v>209</v>
      </c>
      <c r="P30" s="3" t="s">
        <v>29</v>
      </c>
      <c r="Q30" s="3" t="s">
        <v>31</v>
      </c>
      <c r="R30" s="10" t="s">
        <v>114</v>
      </c>
      <c r="S30" s="2" t="s">
        <v>184</v>
      </c>
      <c r="T30" s="2" t="s">
        <v>185</v>
      </c>
      <c r="U30" s="2" t="s">
        <v>186</v>
      </c>
    </row>
    <row r="31" spans="1:21" s="114" customFormat="1" ht="15.75">
      <c r="A31" s="26" t="s">
        <v>153</v>
      </c>
      <c r="B31" s="57" t="s">
        <v>19</v>
      </c>
      <c r="C31" s="43">
        <v>377</v>
      </c>
      <c r="D31" s="47">
        <v>404</v>
      </c>
      <c r="E31" s="47"/>
      <c r="F31" s="47"/>
      <c r="G31" s="47">
        <v>405</v>
      </c>
      <c r="H31" s="251">
        <v>415</v>
      </c>
      <c r="I31" s="251">
        <v>444</v>
      </c>
      <c r="J31" s="47">
        <v>404</v>
      </c>
      <c r="K31" s="47"/>
      <c r="L31" s="47"/>
      <c r="M31" s="47"/>
      <c r="N31" s="112">
        <f>SUM(C31:M31)</f>
        <v>2449</v>
      </c>
      <c r="O31" s="110">
        <v>2</v>
      </c>
      <c r="P31" s="110">
        <v>6</v>
      </c>
      <c r="Q31" s="110">
        <f>N31-2570</f>
        <v>-121</v>
      </c>
      <c r="R31" s="110">
        <v>0</v>
      </c>
      <c r="U31" s="114">
        <v>1</v>
      </c>
    </row>
    <row r="32" spans="1:21" s="23" customFormat="1" ht="15.75">
      <c r="A32" s="145" t="s">
        <v>154</v>
      </c>
      <c r="B32" s="153" t="s">
        <v>24</v>
      </c>
      <c r="C32" s="270">
        <v>401</v>
      </c>
      <c r="D32" s="270">
        <v>410</v>
      </c>
      <c r="E32" s="20"/>
      <c r="G32" s="20">
        <v>378</v>
      </c>
      <c r="H32" s="20">
        <v>382</v>
      </c>
      <c r="I32" s="270">
        <v>395</v>
      </c>
      <c r="J32" s="20">
        <v>368</v>
      </c>
      <c r="K32" s="20"/>
      <c r="L32" s="20"/>
      <c r="M32" s="20"/>
      <c r="N32" s="69">
        <f aca="true" t="shared" si="1" ref="N32:N47">SUM(C32:M32)</f>
        <v>2334</v>
      </c>
      <c r="O32" s="19">
        <v>3</v>
      </c>
      <c r="P32" s="19">
        <v>5</v>
      </c>
      <c r="Q32" s="19">
        <v>-54</v>
      </c>
      <c r="R32" s="19">
        <v>0</v>
      </c>
      <c r="U32" s="23">
        <v>1</v>
      </c>
    </row>
    <row r="33" spans="1:21" s="114" customFormat="1" ht="15.75">
      <c r="A33" s="26" t="s">
        <v>155</v>
      </c>
      <c r="B33" s="57" t="s">
        <v>17</v>
      </c>
      <c r="C33" s="320">
        <v>417</v>
      </c>
      <c r="D33" s="320">
        <v>417</v>
      </c>
      <c r="E33" s="117">
        <v>147</v>
      </c>
      <c r="G33" s="320">
        <v>447</v>
      </c>
      <c r="H33" s="117">
        <v>408</v>
      </c>
      <c r="I33" s="117"/>
      <c r="J33" s="117">
        <v>365</v>
      </c>
      <c r="K33" s="117"/>
      <c r="L33" s="117"/>
      <c r="M33" s="117"/>
      <c r="N33" s="112">
        <f t="shared" si="1"/>
        <v>2201</v>
      </c>
      <c r="O33" s="110">
        <v>3</v>
      </c>
      <c r="P33" s="110">
        <v>5</v>
      </c>
      <c r="Q33" s="110">
        <v>-266</v>
      </c>
      <c r="R33" s="110">
        <v>0</v>
      </c>
      <c r="U33" s="114">
        <v>1</v>
      </c>
    </row>
    <row r="34" spans="1:21" s="104" customFormat="1" ht="15.75">
      <c r="A34" s="19" t="s">
        <v>156</v>
      </c>
      <c r="B34" s="137" t="s">
        <v>15</v>
      </c>
      <c r="C34" s="324">
        <v>431</v>
      </c>
      <c r="D34" s="324">
        <v>388</v>
      </c>
      <c r="E34" s="105"/>
      <c r="F34" s="105"/>
      <c r="G34" s="105">
        <v>143</v>
      </c>
      <c r="H34" s="105">
        <v>383</v>
      </c>
      <c r="I34" s="105">
        <v>194</v>
      </c>
      <c r="J34" s="105">
        <v>359</v>
      </c>
      <c r="K34" s="105"/>
      <c r="L34" s="105"/>
      <c r="M34" s="324">
        <v>391</v>
      </c>
      <c r="N34" s="102">
        <f t="shared" si="1"/>
        <v>2289</v>
      </c>
      <c r="O34" s="100">
        <v>3</v>
      </c>
      <c r="P34" s="100">
        <v>5</v>
      </c>
      <c r="Q34" s="100">
        <v>-69</v>
      </c>
      <c r="R34" s="100">
        <v>0</v>
      </c>
      <c r="U34" s="104">
        <v>1</v>
      </c>
    </row>
    <row r="35" spans="1:19" s="114" customFormat="1" ht="15.75">
      <c r="A35" s="26" t="s">
        <v>157</v>
      </c>
      <c r="B35" s="57" t="s">
        <v>263</v>
      </c>
      <c r="C35" s="320">
        <v>448</v>
      </c>
      <c r="D35" s="320">
        <v>423</v>
      </c>
      <c r="E35" s="117"/>
      <c r="F35" s="117"/>
      <c r="G35" s="117">
        <v>401</v>
      </c>
      <c r="H35" s="117">
        <v>404</v>
      </c>
      <c r="I35" s="320">
        <v>495</v>
      </c>
      <c r="J35" s="117"/>
      <c r="K35" s="117"/>
      <c r="L35" s="117"/>
      <c r="M35" s="117">
        <v>402</v>
      </c>
      <c r="N35" s="112">
        <f t="shared" si="1"/>
        <v>2573</v>
      </c>
      <c r="O35" s="110">
        <v>5</v>
      </c>
      <c r="P35" s="110">
        <v>3</v>
      </c>
      <c r="Q35" s="110">
        <f>N35-2507</f>
        <v>66</v>
      </c>
      <c r="R35" s="110">
        <v>2</v>
      </c>
      <c r="S35" s="114">
        <v>1</v>
      </c>
    </row>
    <row r="36" spans="1:21" s="148" customFormat="1" ht="15.75">
      <c r="A36" s="100" t="s">
        <v>158</v>
      </c>
      <c r="B36" s="121" t="s">
        <v>23</v>
      </c>
      <c r="C36" s="291">
        <v>369</v>
      </c>
      <c r="D36" s="291"/>
      <c r="E36" s="291"/>
      <c r="F36" s="291"/>
      <c r="G36" s="291">
        <v>374</v>
      </c>
      <c r="H36" s="319">
        <v>431</v>
      </c>
      <c r="I36" s="319">
        <v>419</v>
      </c>
      <c r="J36" s="319">
        <v>404</v>
      </c>
      <c r="K36" s="291"/>
      <c r="L36" s="291"/>
      <c r="M36" s="291">
        <v>400</v>
      </c>
      <c r="N36" s="147">
        <f t="shared" si="1"/>
        <v>2397</v>
      </c>
      <c r="O36" s="145">
        <v>3</v>
      </c>
      <c r="P36" s="145">
        <v>5</v>
      </c>
      <c r="Q36" s="145">
        <v>-1</v>
      </c>
      <c r="R36" s="145">
        <v>0</v>
      </c>
      <c r="U36" s="148">
        <v>1</v>
      </c>
    </row>
    <row r="37" spans="1:20" s="114" customFormat="1" ht="15.75">
      <c r="A37" s="26" t="s">
        <v>159</v>
      </c>
      <c r="B37" s="57" t="s">
        <v>260</v>
      </c>
      <c r="C37" s="117">
        <v>408</v>
      </c>
      <c r="D37" s="117">
        <v>392</v>
      </c>
      <c r="E37" s="117"/>
      <c r="F37" s="117"/>
      <c r="G37" s="117">
        <v>403</v>
      </c>
      <c r="H37" s="320">
        <v>431</v>
      </c>
      <c r="I37" s="320">
        <v>449</v>
      </c>
      <c r="J37" s="117">
        <v>396</v>
      </c>
      <c r="K37" s="117"/>
      <c r="L37" s="117"/>
      <c r="M37" s="117"/>
      <c r="N37" s="112">
        <f t="shared" si="1"/>
        <v>2479</v>
      </c>
      <c r="O37" s="110">
        <v>4</v>
      </c>
      <c r="P37" s="110">
        <v>4</v>
      </c>
      <c r="Q37" s="110">
        <f>N37-2441</f>
        <v>38</v>
      </c>
      <c r="R37" s="110">
        <v>1</v>
      </c>
      <c r="T37" s="114">
        <v>1</v>
      </c>
    </row>
    <row r="38" spans="1:18" s="299" customFormat="1" ht="15.75">
      <c r="A38" s="293" t="s">
        <v>160</v>
      </c>
      <c r="B38" s="294" t="s">
        <v>255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297">
        <f t="shared" si="1"/>
        <v>0</v>
      </c>
      <c r="O38" s="293"/>
      <c r="P38" s="293"/>
      <c r="Q38" s="293"/>
      <c r="R38" s="293"/>
    </row>
    <row r="39" spans="1:21" s="148" customFormat="1" ht="15.75">
      <c r="A39" s="100" t="s">
        <v>161</v>
      </c>
      <c r="B39" s="121" t="s">
        <v>16</v>
      </c>
      <c r="C39" s="291">
        <v>337</v>
      </c>
      <c r="D39" s="291">
        <v>388</v>
      </c>
      <c r="E39" s="291"/>
      <c r="F39" s="291"/>
      <c r="G39" s="291">
        <v>391</v>
      </c>
      <c r="H39" s="291">
        <v>390</v>
      </c>
      <c r="I39" s="319">
        <v>422</v>
      </c>
      <c r="J39" s="291">
        <v>384</v>
      </c>
      <c r="K39" s="291"/>
      <c r="L39" s="291"/>
      <c r="M39" s="291"/>
      <c r="N39" s="147">
        <f t="shared" si="1"/>
        <v>2312</v>
      </c>
      <c r="O39" s="145">
        <v>1</v>
      </c>
      <c r="P39" s="145">
        <v>7</v>
      </c>
      <c r="Q39" s="145">
        <v>-111</v>
      </c>
      <c r="R39" s="145">
        <v>0</v>
      </c>
      <c r="U39" s="148">
        <v>1</v>
      </c>
    </row>
    <row r="40" spans="1:21" s="114" customFormat="1" ht="15.75">
      <c r="A40" s="26" t="s">
        <v>162</v>
      </c>
      <c r="B40" s="57" t="s">
        <v>205</v>
      </c>
      <c r="C40" s="117">
        <v>401</v>
      </c>
      <c r="D40" s="117">
        <v>404</v>
      </c>
      <c r="E40" s="117"/>
      <c r="F40" s="117"/>
      <c r="G40" s="117">
        <v>382</v>
      </c>
      <c r="H40" s="117">
        <v>391</v>
      </c>
      <c r="I40" s="320">
        <v>446</v>
      </c>
      <c r="J40" s="117">
        <v>414</v>
      </c>
      <c r="K40" s="117"/>
      <c r="L40" s="117"/>
      <c r="M40" s="117"/>
      <c r="N40" s="112">
        <f t="shared" si="1"/>
        <v>2438</v>
      </c>
      <c r="O40" s="110">
        <v>1</v>
      </c>
      <c r="P40" s="110">
        <v>7</v>
      </c>
      <c r="Q40" s="110">
        <f>N40-2583</f>
        <v>-145</v>
      </c>
      <c r="R40" s="110">
        <v>0</v>
      </c>
      <c r="U40" s="114">
        <v>1</v>
      </c>
    </row>
    <row r="41" spans="1:19" s="23" customFormat="1" ht="15.75">
      <c r="A41" s="145" t="s">
        <v>163</v>
      </c>
      <c r="B41" s="153" t="s">
        <v>21</v>
      </c>
      <c r="C41" s="270">
        <v>402</v>
      </c>
      <c r="D41" s="20"/>
      <c r="E41" s="20"/>
      <c r="F41" s="20"/>
      <c r="G41" s="270">
        <v>398</v>
      </c>
      <c r="H41" s="20">
        <v>385</v>
      </c>
      <c r="I41" s="270">
        <v>422</v>
      </c>
      <c r="J41" s="20">
        <v>374</v>
      </c>
      <c r="K41" s="20"/>
      <c r="L41" s="20"/>
      <c r="M41" s="270">
        <v>407</v>
      </c>
      <c r="N41" s="69">
        <f t="shared" si="1"/>
        <v>2388</v>
      </c>
      <c r="O41" s="19">
        <v>6</v>
      </c>
      <c r="P41" s="19">
        <v>2</v>
      </c>
      <c r="Q41" s="19">
        <v>97</v>
      </c>
      <c r="R41" s="19">
        <v>2</v>
      </c>
      <c r="S41" s="23">
        <v>1</v>
      </c>
    </row>
    <row r="42" spans="1:21" s="114" customFormat="1" ht="15.75">
      <c r="A42" s="26" t="s">
        <v>164</v>
      </c>
      <c r="B42" s="57" t="s">
        <v>26</v>
      </c>
      <c r="C42" s="117">
        <v>390</v>
      </c>
      <c r="D42" s="117">
        <v>417</v>
      </c>
      <c r="E42" s="117"/>
      <c r="F42" s="117"/>
      <c r="G42" s="320">
        <v>425</v>
      </c>
      <c r="H42" s="117">
        <v>366</v>
      </c>
      <c r="I42" s="320">
        <v>438</v>
      </c>
      <c r="J42" s="117">
        <v>395</v>
      </c>
      <c r="K42" s="117"/>
      <c r="L42" s="117"/>
      <c r="M42" s="117"/>
      <c r="N42" s="112">
        <f t="shared" si="1"/>
        <v>2431</v>
      </c>
      <c r="O42" s="110">
        <v>2</v>
      </c>
      <c r="P42" s="110">
        <v>6</v>
      </c>
      <c r="Q42" s="110">
        <v>-122</v>
      </c>
      <c r="R42" s="110">
        <v>0</v>
      </c>
      <c r="U42" s="114">
        <v>1</v>
      </c>
    </row>
    <row r="43" spans="1:19" s="104" customFormat="1" ht="15.75">
      <c r="A43" s="19" t="s">
        <v>165</v>
      </c>
      <c r="B43" s="137" t="s">
        <v>208</v>
      </c>
      <c r="C43" s="324">
        <v>423</v>
      </c>
      <c r="D43" s="105">
        <v>381</v>
      </c>
      <c r="E43" s="105"/>
      <c r="F43" s="105"/>
      <c r="G43" s="324">
        <v>415</v>
      </c>
      <c r="H43" s="105"/>
      <c r="I43" s="324">
        <v>392</v>
      </c>
      <c r="J43" s="324">
        <v>404</v>
      </c>
      <c r="K43" s="105"/>
      <c r="L43" s="105"/>
      <c r="M43" s="105">
        <v>369</v>
      </c>
      <c r="N43" s="102">
        <f t="shared" si="1"/>
        <v>2384</v>
      </c>
      <c r="O43" s="100">
        <v>6</v>
      </c>
      <c r="P43" s="100">
        <v>2</v>
      </c>
      <c r="Q43" s="100">
        <v>107</v>
      </c>
      <c r="R43" s="100">
        <v>2</v>
      </c>
      <c r="S43" s="104">
        <v>1</v>
      </c>
    </row>
    <row r="44" spans="1:20" s="114" customFormat="1" ht="15.75">
      <c r="A44" s="26" t="s">
        <v>265</v>
      </c>
      <c r="B44" s="57" t="s">
        <v>211</v>
      </c>
      <c r="C44" s="117">
        <v>403</v>
      </c>
      <c r="D44" s="320">
        <v>414</v>
      </c>
      <c r="E44" s="117"/>
      <c r="G44" s="320">
        <v>415</v>
      </c>
      <c r="H44" s="117">
        <v>301</v>
      </c>
      <c r="I44" s="320">
        <v>416</v>
      </c>
      <c r="J44" s="344">
        <v>416</v>
      </c>
      <c r="K44" s="117"/>
      <c r="L44" s="117"/>
      <c r="M44" s="117"/>
      <c r="N44" s="112">
        <f t="shared" si="1"/>
        <v>2365</v>
      </c>
      <c r="O44" s="110">
        <v>4</v>
      </c>
      <c r="P44" s="110">
        <v>4</v>
      </c>
      <c r="Q44" s="110">
        <v>-61</v>
      </c>
      <c r="R44" s="110">
        <v>1</v>
      </c>
      <c r="T44" s="114">
        <v>1</v>
      </c>
    </row>
    <row r="45" spans="1:21" s="148" customFormat="1" ht="15.75">
      <c r="A45" s="100" t="s">
        <v>266</v>
      </c>
      <c r="B45" s="121" t="s">
        <v>20</v>
      </c>
      <c r="C45" s="291">
        <v>370</v>
      </c>
      <c r="D45" s="291"/>
      <c r="E45" s="291"/>
      <c r="G45" s="319">
        <v>387</v>
      </c>
      <c r="H45" s="291"/>
      <c r="I45" s="319">
        <v>417</v>
      </c>
      <c r="J45" s="291"/>
      <c r="K45" s="319">
        <v>417</v>
      </c>
      <c r="L45" s="291">
        <v>312</v>
      </c>
      <c r="M45" s="291">
        <v>370</v>
      </c>
      <c r="N45" s="147">
        <f t="shared" si="1"/>
        <v>2273</v>
      </c>
      <c r="O45" s="145">
        <v>3</v>
      </c>
      <c r="P45" s="145">
        <v>5</v>
      </c>
      <c r="Q45" s="145">
        <v>-43</v>
      </c>
      <c r="R45" s="145">
        <v>0</v>
      </c>
      <c r="U45" s="148">
        <v>1</v>
      </c>
    </row>
    <row r="46" spans="1:19" s="114" customFormat="1" ht="15.75">
      <c r="A46" s="26" t="s">
        <v>303</v>
      </c>
      <c r="B46" s="57" t="s">
        <v>22</v>
      </c>
      <c r="C46" s="117">
        <v>364</v>
      </c>
      <c r="D46" s="117"/>
      <c r="E46" s="117">
        <v>344</v>
      </c>
      <c r="F46" s="117"/>
      <c r="G46" s="117">
        <v>442</v>
      </c>
      <c r="H46" s="117"/>
      <c r="I46" s="117">
        <v>439</v>
      </c>
      <c r="J46" s="117">
        <v>409</v>
      </c>
      <c r="K46" s="117"/>
      <c r="L46" s="117"/>
      <c r="M46" s="117">
        <v>364</v>
      </c>
      <c r="N46" s="112">
        <f t="shared" si="1"/>
        <v>2362</v>
      </c>
      <c r="O46" s="110">
        <v>5</v>
      </c>
      <c r="P46" s="110">
        <v>3</v>
      </c>
      <c r="Q46" s="110">
        <v>18</v>
      </c>
      <c r="R46" s="110">
        <v>2</v>
      </c>
      <c r="S46" s="114">
        <v>1</v>
      </c>
    </row>
    <row r="47" spans="1:21" s="23" customFormat="1" ht="16.5" thickBot="1">
      <c r="A47" s="145" t="s">
        <v>304</v>
      </c>
      <c r="B47" s="153" t="s">
        <v>196</v>
      </c>
      <c r="C47" s="362">
        <v>400</v>
      </c>
      <c r="D47" s="362">
        <v>406</v>
      </c>
      <c r="E47" s="235"/>
      <c r="F47" s="235"/>
      <c r="G47" s="235">
        <v>382</v>
      </c>
      <c r="H47" s="235"/>
      <c r="I47" s="235">
        <v>385</v>
      </c>
      <c r="J47" s="235">
        <v>398</v>
      </c>
      <c r="K47" s="235"/>
      <c r="L47" s="235"/>
      <c r="M47" s="362">
        <v>411</v>
      </c>
      <c r="N47" s="69">
        <f t="shared" si="1"/>
        <v>2382</v>
      </c>
      <c r="O47" s="25">
        <v>5</v>
      </c>
      <c r="P47" s="25">
        <v>3</v>
      </c>
      <c r="Q47" s="25">
        <f>N47-2337</f>
        <v>45</v>
      </c>
      <c r="R47" s="25">
        <v>2</v>
      </c>
      <c r="S47" s="151">
        <v>1</v>
      </c>
      <c r="T47" s="151"/>
      <c r="U47" s="151"/>
    </row>
    <row r="48" spans="3:21" ht="16.5" thickTop="1">
      <c r="C48" s="70">
        <f aca="true" t="shared" si="2" ref="C48:L48">SUM(C31:C47)</f>
        <v>6341</v>
      </c>
      <c r="D48" s="70">
        <f t="shared" si="2"/>
        <v>4844</v>
      </c>
      <c r="E48" s="70">
        <f>SUM(E34:E47)</f>
        <v>344</v>
      </c>
      <c r="F48" s="70"/>
      <c r="G48" s="70">
        <f>SUM(G31:G33)+SUM(G35:G47)</f>
        <v>6045</v>
      </c>
      <c r="H48" s="70">
        <f>SUM(H31:H47)</f>
        <v>4687</v>
      </c>
      <c r="I48" s="70">
        <f>SUM(I31:I33)+SUM(I35:I47)</f>
        <v>5979</v>
      </c>
      <c r="J48" s="70">
        <f t="shared" si="2"/>
        <v>5490</v>
      </c>
      <c r="K48" s="70">
        <f t="shared" si="2"/>
        <v>417</v>
      </c>
      <c r="L48" s="70">
        <f t="shared" si="2"/>
        <v>312</v>
      </c>
      <c r="M48" s="70">
        <f>SUM(M31:M44)+SUM(M46:M47)</f>
        <v>2744</v>
      </c>
      <c r="O48" s="1">
        <f>SUM(O31:O47)</f>
        <v>56</v>
      </c>
      <c r="P48" s="1">
        <f>SUM(P31:P47)</f>
        <v>72</v>
      </c>
      <c r="Q48" s="1">
        <f>SUM(Q31:Q47)</f>
        <v>-622</v>
      </c>
      <c r="R48" s="1">
        <f>SUM(R31:R47)</f>
        <v>12</v>
      </c>
      <c r="S48" s="1">
        <f>SUM(S31:S47)+S23</f>
        <v>10</v>
      </c>
      <c r="T48" s="1">
        <f>SUM(T31:T47)+T23</f>
        <v>3</v>
      </c>
      <c r="U48" s="1">
        <f>SUM(U31:U47)+U23</f>
        <v>19</v>
      </c>
    </row>
    <row r="49" spans="2:13" ht="31.5">
      <c r="B49" s="132" t="s">
        <v>250</v>
      </c>
      <c r="C49" s="4">
        <f>COUNT(C31:C47)</f>
        <v>16</v>
      </c>
      <c r="D49" s="4">
        <f>COUNT(D31:D47)</f>
        <v>12</v>
      </c>
      <c r="E49" s="4">
        <f>COUNT(E35:E47)</f>
        <v>1</v>
      </c>
      <c r="G49" s="4">
        <f>COUNT(G31:G33)+COUNT(G35:G47)</f>
        <v>15</v>
      </c>
      <c r="H49" s="4">
        <f>COUNT(H31:H47)</f>
        <v>12</v>
      </c>
      <c r="I49" s="4">
        <f>COUNT(I31:I33)+COUNT(I35:I47)</f>
        <v>14</v>
      </c>
      <c r="J49" s="4">
        <f>COUNT(J31:J47)</f>
        <v>14</v>
      </c>
      <c r="K49" s="4">
        <f>COUNT(K31:K47)</f>
        <v>1</v>
      </c>
      <c r="L49" s="4">
        <f>COUNT(L31:L47)</f>
        <v>1</v>
      </c>
      <c r="M49" s="70">
        <f>COUNT(M31:M44)+COUNT(M46:M47)</f>
        <v>7</v>
      </c>
    </row>
    <row r="50" spans="2:21" ht="31.5">
      <c r="B50" s="11" t="s">
        <v>249</v>
      </c>
      <c r="C50" s="17">
        <f>C48/C49</f>
        <v>396.3125</v>
      </c>
      <c r="D50" s="17">
        <f>D48/D49</f>
        <v>403.6666666666667</v>
      </c>
      <c r="E50" s="17">
        <f>E48/E49</f>
        <v>344</v>
      </c>
      <c r="F50" s="17"/>
      <c r="G50" s="17">
        <f aca="true" t="shared" si="3" ref="G50:M50">G48/G49</f>
        <v>403</v>
      </c>
      <c r="H50" s="17">
        <f t="shared" si="3"/>
        <v>390.5833333333333</v>
      </c>
      <c r="I50" s="17">
        <f t="shared" si="3"/>
        <v>427.07142857142856</v>
      </c>
      <c r="J50" s="17">
        <f t="shared" si="3"/>
        <v>392.14285714285717</v>
      </c>
      <c r="K50" s="17">
        <f>K48/K49</f>
        <v>417</v>
      </c>
      <c r="L50" s="17">
        <f>L48/L49</f>
        <v>312</v>
      </c>
      <c r="M50" s="17">
        <f t="shared" si="3"/>
        <v>392</v>
      </c>
      <c r="N50" s="3" t="s">
        <v>30</v>
      </c>
      <c r="O50" s="371" t="s">
        <v>115</v>
      </c>
      <c r="P50" s="371"/>
      <c r="Q50" s="3" t="s">
        <v>31</v>
      </c>
      <c r="R50" s="10" t="s">
        <v>116</v>
      </c>
      <c r="T50" s="74" t="s">
        <v>126</v>
      </c>
      <c r="U50" s="74" t="s">
        <v>223</v>
      </c>
    </row>
    <row r="51" spans="14:21" ht="15.75">
      <c r="N51" s="6">
        <f>SUM(N31:N47)+N26</f>
        <v>76915</v>
      </c>
      <c r="O51" s="6">
        <f>SUM(O31:O47)</f>
        <v>56</v>
      </c>
      <c r="P51" s="6">
        <f>SUM(P31:P47)</f>
        <v>72</v>
      </c>
      <c r="Q51" s="6">
        <f>SUM(Q31:Q47)+Q26</f>
        <v>-1156</v>
      </c>
      <c r="R51" s="6">
        <f>SUM(R31:R47)+R26</f>
        <v>23</v>
      </c>
      <c r="T51" s="2">
        <f>O51-P51</f>
        <v>-16</v>
      </c>
      <c r="U51" s="2">
        <f>SUM(S48:U48)</f>
        <v>32</v>
      </c>
    </row>
    <row r="53" spans="14:15" ht="15.75">
      <c r="N53" s="1" t="s">
        <v>128</v>
      </c>
      <c r="O53" s="18">
        <f>N51/U51</f>
        <v>2403.59375</v>
      </c>
    </row>
  </sheetData>
  <sheetProtection/>
  <mergeCells count="9">
    <mergeCell ref="O50:P50"/>
    <mergeCell ref="M27:N27"/>
    <mergeCell ref="H1:J1"/>
    <mergeCell ref="K1:M1"/>
    <mergeCell ref="C4:M4"/>
    <mergeCell ref="O4:P4"/>
    <mergeCell ref="C27:D27"/>
    <mergeCell ref="O25:P25"/>
    <mergeCell ref="I27:J27"/>
  </mergeCells>
  <printOptions/>
  <pageMargins left="0.75" right="0.75" top="1" bottom="1" header="0.5" footer="0.5"/>
  <pageSetup horizontalDpi="600" verticalDpi="600" orientation="portrait" paperSize="9" r:id="rId1"/>
  <ignoredErrors>
    <ignoredError sqref="J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zoomScale="90" zoomScaleNormal="90" zoomScalePageLayoutView="0" workbookViewId="0" topLeftCell="B28">
      <selection activeCell="J48" sqref="J48"/>
    </sheetView>
  </sheetViews>
  <sheetFormatPr defaultColWidth="9.00390625" defaultRowHeight="12.75"/>
  <cols>
    <col min="1" max="1" width="11.25390625" style="1" bestFit="1" customWidth="1"/>
    <col min="2" max="2" width="14.75390625" style="1" bestFit="1" customWidth="1"/>
    <col min="3" max="3" width="9.875" style="1" customWidth="1"/>
    <col min="4" max="4" width="8.125" style="1" customWidth="1"/>
    <col min="5" max="5" width="13.75390625" style="1" customWidth="1"/>
    <col min="6" max="6" width="8.625" style="1" customWidth="1"/>
    <col min="7" max="7" width="9.375" style="1" bestFit="1" customWidth="1"/>
    <col min="8" max="8" width="10.75390625" style="1" customWidth="1"/>
    <col min="9" max="9" width="10.625" style="1" customWidth="1"/>
    <col min="10" max="10" width="10.25390625" style="1" customWidth="1"/>
    <col min="11" max="11" width="9.25390625" style="1" customWidth="1"/>
    <col min="12" max="12" width="10.875" style="1" customWidth="1"/>
    <col min="13" max="13" width="18.3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00390625" style="1" customWidth="1"/>
    <col min="18" max="18" width="9.25390625" style="0" bestFit="1" customWidth="1"/>
    <col min="19" max="19" width="11.125" style="0" customWidth="1"/>
    <col min="20" max="20" width="11.25390625" style="0" customWidth="1"/>
  </cols>
  <sheetData>
    <row r="1" spans="1:14" ht="15.75">
      <c r="A1" s="58" t="s">
        <v>141</v>
      </c>
      <c r="B1" s="59"/>
      <c r="C1" s="59" t="s">
        <v>147</v>
      </c>
      <c r="D1" s="59" t="s">
        <v>142</v>
      </c>
      <c r="E1" s="59"/>
      <c r="F1" s="372" t="s">
        <v>143</v>
      </c>
      <c r="G1" s="372"/>
      <c r="I1" s="371" t="s">
        <v>151</v>
      </c>
      <c r="J1" s="371"/>
      <c r="K1" s="3" t="s">
        <v>152</v>
      </c>
      <c r="L1" s="13" t="s">
        <v>126</v>
      </c>
      <c r="M1" s="1" t="s">
        <v>128</v>
      </c>
      <c r="N1" s="18">
        <f>M26/T26</f>
        <v>2438.9375</v>
      </c>
    </row>
    <row r="2" spans="9:14" ht="15.75">
      <c r="I2" s="1">
        <f>N26+N49</f>
        <v>76</v>
      </c>
      <c r="J2" s="1">
        <f>O26+O49</f>
        <v>180</v>
      </c>
      <c r="K2" s="1">
        <f>Q26+Q49</f>
        <v>6</v>
      </c>
      <c r="L2" s="1">
        <f>I2-J2</f>
        <v>-104</v>
      </c>
      <c r="M2" s="1" t="s">
        <v>234</v>
      </c>
      <c r="N2" s="6">
        <f>M6+M8+M10+M12+M14+M16+M18+M20</f>
        <v>19418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7.5" customHeight="1" thickBot="1">
      <c r="B5" s="3" t="s">
        <v>25</v>
      </c>
      <c r="C5" s="8" t="s">
        <v>175</v>
      </c>
      <c r="D5" s="8" t="s">
        <v>176</v>
      </c>
      <c r="E5" s="8" t="s">
        <v>36</v>
      </c>
      <c r="F5" s="8" t="s">
        <v>177</v>
      </c>
      <c r="G5" s="8" t="s">
        <v>178</v>
      </c>
      <c r="H5" s="8" t="s">
        <v>179</v>
      </c>
      <c r="I5" s="8" t="s">
        <v>180</v>
      </c>
      <c r="J5" s="8" t="s">
        <v>148</v>
      </c>
      <c r="K5" s="8" t="s">
        <v>190</v>
      </c>
      <c r="L5" s="8" t="s">
        <v>32</v>
      </c>
      <c r="M5" s="11" t="s">
        <v>30</v>
      </c>
      <c r="N5" s="11" t="s">
        <v>166</v>
      </c>
      <c r="O5" s="11" t="s">
        <v>29</v>
      </c>
      <c r="P5" s="11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19</v>
      </c>
      <c r="C6" s="43">
        <v>391</v>
      </c>
      <c r="D6" s="43">
        <v>378</v>
      </c>
      <c r="E6" s="43">
        <v>220</v>
      </c>
      <c r="F6" s="243">
        <v>438</v>
      </c>
      <c r="G6" s="43"/>
      <c r="H6" s="243">
        <v>412</v>
      </c>
      <c r="I6" s="43">
        <v>395</v>
      </c>
      <c r="J6" s="43"/>
      <c r="K6" s="43">
        <v>185</v>
      </c>
      <c r="L6" s="39"/>
      <c r="M6" s="109">
        <f aca="true" t="shared" si="0" ref="M6:M21">SUM(C6:L6)</f>
        <v>2419</v>
      </c>
      <c r="N6" s="110">
        <v>2</v>
      </c>
      <c r="O6" s="110">
        <v>6</v>
      </c>
      <c r="P6" s="110">
        <v>-146</v>
      </c>
      <c r="Q6" s="110">
        <v>0</v>
      </c>
      <c r="R6" s="113"/>
      <c r="S6" s="113"/>
      <c r="T6" s="113">
        <v>1</v>
      </c>
    </row>
    <row r="7" spans="1:20" s="23" customFormat="1" ht="15.75">
      <c r="A7" s="145" t="s">
        <v>1</v>
      </c>
      <c r="B7" s="153" t="s">
        <v>24</v>
      </c>
      <c r="C7" s="146">
        <v>383</v>
      </c>
      <c r="D7" s="146"/>
      <c r="E7" s="257">
        <v>463</v>
      </c>
      <c r="F7" s="146">
        <v>423</v>
      </c>
      <c r="G7" s="146"/>
      <c r="H7" s="146">
        <v>383</v>
      </c>
      <c r="I7" s="146">
        <v>407</v>
      </c>
      <c r="J7" s="146"/>
      <c r="K7" s="146">
        <v>399</v>
      </c>
      <c r="L7" s="165"/>
      <c r="M7" s="21">
        <f t="shared" si="0"/>
        <v>2458</v>
      </c>
      <c r="N7" s="19">
        <v>1</v>
      </c>
      <c r="O7" s="19">
        <v>7</v>
      </c>
      <c r="P7" s="19">
        <v>-108</v>
      </c>
      <c r="Q7" s="19">
        <v>0</v>
      </c>
      <c r="R7" s="22"/>
      <c r="S7" s="22"/>
      <c r="T7" s="22">
        <v>1</v>
      </c>
    </row>
    <row r="8" spans="1:20" s="114" customFormat="1" ht="15.75">
      <c r="A8" s="26" t="s">
        <v>2</v>
      </c>
      <c r="B8" s="57" t="s">
        <v>17</v>
      </c>
      <c r="C8" s="243">
        <v>457</v>
      </c>
      <c r="D8" s="43">
        <v>398</v>
      </c>
      <c r="E8" s="43"/>
      <c r="F8" s="243">
        <v>420</v>
      </c>
      <c r="G8" s="43"/>
      <c r="H8" s="243">
        <v>197</v>
      </c>
      <c r="I8" s="43">
        <v>345</v>
      </c>
      <c r="J8" s="43"/>
      <c r="K8" s="43">
        <v>397</v>
      </c>
      <c r="L8" s="250">
        <v>223</v>
      </c>
      <c r="M8" s="109">
        <f t="shared" si="0"/>
        <v>2437</v>
      </c>
      <c r="N8" s="110">
        <v>3</v>
      </c>
      <c r="O8" s="110">
        <v>5</v>
      </c>
      <c r="P8" s="109">
        <f>M8-2522</f>
        <v>-85</v>
      </c>
      <c r="Q8" s="110">
        <v>0</v>
      </c>
      <c r="R8" s="113"/>
      <c r="S8" s="113"/>
      <c r="T8" s="113">
        <v>1</v>
      </c>
    </row>
    <row r="9" spans="1:20" s="104" customFormat="1" ht="15.75">
      <c r="A9" s="19" t="s">
        <v>3</v>
      </c>
      <c r="B9" s="137" t="s">
        <v>15</v>
      </c>
      <c r="C9" s="42">
        <v>391</v>
      </c>
      <c r="D9" s="42"/>
      <c r="E9" s="42"/>
      <c r="F9" s="42">
        <v>400</v>
      </c>
      <c r="G9" s="42"/>
      <c r="H9" s="42">
        <v>395</v>
      </c>
      <c r="I9" s="42">
        <v>194</v>
      </c>
      <c r="J9" s="244">
        <v>428</v>
      </c>
      <c r="K9" s="244">
        <v>425</v>
      </c>
      <c r="L9" s="35">
        <v>212</v>
      </c>
      <c r="M9" s="154">
        <f t="shared" si="0"/>
        <v>2445</v>
      </c>
      <c r="N9" s="100">
        <v>2</v>
      </c>
      <c r="O9" s="100">
        <v>6</v>
      </c>
      <c r="P9" s="100">
        <v>-69</v>
      </c>
      <c r="Q9" s="100">
        <v>0</v>
      </c>
      <c r="R9" s="103"/>
      <c r="S9" s="103"/>
      <c r="T9" s="103">
        <v>1</v>
      </c>
    </row>
    <row r="10" spans="1:20" s="114" customFormat="1" ht="15.75">
      <c r="A10" s="26" t="s">
        <v>4</v>
      </c>
      <c r="B10" s="57" t="s">
        <v>263</v>
      </c>
      <c r="C10" s="47">
        <v>364</v>
      </c>
      <c r="D10" s="47">
        <v>402</v>
      </c>
      <c r="E10" s="47">
        <v>372</v>
      </c>
      <c r="F10" s="251">
        <v>407</v>
      </c>
      <c r="G10" s="43"/>
      <c r="H10" s="43">
        <v>388</v>
      </c>
      <c r="I10" s="47"/>
      <c r="J10" s="47"/>
      <c r="K10" s="251">
        <v>415</v>
      </c>
      <c r="L10" s="39"/>
      <c r="M10" s="109">
        <f t="shared" si="0"/>
        <v>2348</v>
      </c>
      <c r="N10" s="110">
        <v>2</v>
      </c>
      <c r="O10" s="110">
        <v>6</v>
      </c>
      <c r="P10" s="110">
        <v>-157</v>
      </c>
      <c r="Q10" s="110">
        <v>0</v>
      </c>
      <c r="R10" s="113"/>
      <c r="S10" s="113"/>
      <c r="T10" s="113">
        <v>1</v>
      </c>
    </row>
    <row r="11" spans="1:20" s="148" customFormat="1" ht="15.75">
      <c r="A11" s="100" t="s">
        <v>5</v>
      </c>
      <c r="B11" s="121" t="s">
        <v>23</v>
      </c>
      <c r="C11" s="120">
        <v>410</v>
      </c>
      <c r="D11" s="120">
        <v>386</v>
      </c>
      <c r="E11" s="258">
        <v>429</v>
      </c>
      <c r="F11" s="258">
        <v>468</v>
      </c>
      <c r="G11" s="120"/>
      <c r="H11" s="120">
        <v>398</v>
      </c>
      <c r="I11" s="120"/>
      <c r="J11" s="120"/>
      <c r="K11" s="258">
        <v>431</v>
      </c>
      <c r="L11" s="157"/>
      <c r="M11" s="175">
        <f t="shared" si="0"/>
        <v>2522</v>
      </c>
      <c r="N11" s="145">
        <v>5</v>
      </c>
      <c r="O11" s="145">
        <v>3</v>
      </c>
      <c r="P11" s="145">
        <v>25</v>
      </c>
      <c r="Q11" s="145">
        <v>2</v>
      </c>
      <c r="R11" s="176">
        <v>1</v>
      </c>
      <c r="S11" s="176"/>
      <c r="T11" s="176"/>
    </row>
    <row r="12" spans="1:20" s="114" customFormat="1" ht="15.75">
      <c r="A12" s="26" t="s">
        <v>6</v>
      </c>
      <c r="B12" s="57" t="s">
        <v>260</v>
      </c>
      <c r="C12" s="43">
        <v>391</v>
      </c>
      <c r="D12" s="43">
        <v>412</v>
      </c>
      <c r="E12" s="243">
        <v>434</v>
      </c>
      <c r="F12" s="43"/>
      <c r="G12" s="43"/>
      <c r="H12" s="43">
        <v>393</v>
      </c>
      <c r="I12" s="43">
        <v>371</v>
      </c>
      <c r="J12" s="243">
        <v>420</v>
      </c>
      <c r="K12" s="43"/>
      <c r="L12" s="39"/>
      <c r="M12" s="109">
        <f t="shared" si="0"/>
        <v>2421</v>
      </c>
      <c r="N12" s="110">
        <v>2</v>
      </c>
      <c r="O12" s="110">
        <v>6</v>
      </c>
      <c r="P12" s="110">
        <v>-186</v>
      </c>
      <c r="Q12" s="110">
        <v>0</v>
      </c>
      <c r="R12" s="113"/>
      <c r="S12" s="113"/>
      <c r="T12" s="113">
        <v>1</v>
      </c>
    </row>
    <row r="13" spans="1:20" s="23" customFormat="1" ht="15.75">
      <c r="A13" s="145" t="s">
        <v>7</v>
      </c>
      <c r="B13" s="153" t="s">
        <v>209</v>
      </c>
      <c r="C13" s="257">
        <v>415</v>
      </c>
      <c r="D13" s="146">
        <v>381</v>
      </c>
      <c r="E13" s="146"/>
      <c r="F13" s="257">
        <v>436</v>
      </c>
      <c r="G13" s="146"/>
      <c r="H13" s="146">
        <v>380</v>
      </c>
      <c r="I13" s="146"/>
      <c r="J13" s="146">
        <v>395</v>
      </c>
      <c r="K13" s="146">
        <v>395</v>
      </c>
      <c r="L13" s="165"/>
      <c r="M13" s="21">
        <f t="shared" si="0"/>
        <v>2402</v>
      </c>
      <c r="N13" s="19">
        <v>2</v>
      </c>
      <c r="O13" s="19">
        <v>6</v>
      </c>
      <c r="P13" s="19">
        <v>-27</v>
      </c>
      <c r="Q13" s="19">
        <v>0</v>
      </c>
      <c r="R13" s="22"/>
      <c r="S13" s="22"/>
      <c r="T13" s="22">
        <v>1</v>
      </c>
    </row>
    <row r="14" spans="1:20" s="114" customFormat="1" ht="15.75">
      <c r="A14" s="26" t="s">
        <v>8</v>
      </c>
      <c r="B14" s="57" t="s">
        <v>16</v>
      </c>
      <c r="C14" s="43">
        <v>397</v>
      </c>
      <c r="D14" s="43"/>
      <c r="E14" s="43">
        <v>391</v>
      </c>
      <c r="F14" s="243">
        <v>444</v>
      </c>
      <c r="G14" s="43"/>
      <c r="H14" s="43">
        <v>398</v>
      </c>
      <c r="I14" s="43"/>
      <c r="J14" s="43">
        <v>394</v>
      </c>
      <c r="K14" s="43">
        <v>428</v>
      </c>
      <c r="L14" s="39"/>
      <c r="M14" s="109">
        <f t="shared" si="0"/>
        <v>2452</v>
      </c>
      <c r="N14" s="110">
        <v>1</v>
      </c>
      <c r="O14" s="110">
        <v>7</v>
      </c>
      <c r="P14" s="109">
        <v>-194</v>
      </c>
      <c r="Q14" s="110">
        <v>0</v>
      </c>
      <c r="R14" s="113"/>
      <c r="S14" s="113"/>
      <c r="T14" s="113">
        <v>1</v>
      </c>
    </row>
    <row r="15" spans="1:20" s="104" customFormat="1" ht="15.75">
      <c r="A15" s="19" t="s">
        <v>9</v>
      </c>
      <c r="B15" s="137" t="s">
        <v>205</v>
      </c>
      <c r="C15" s="42">
        <v>403</v>
      </c>
      <c r="D15" s="42"/>
      <c r="E15" s="244">
        <v>421</v>
      </c>
      <c r="F15" s="244">
        <v>425</v>
      </c>
      <c r="G15" s="42"/>
      <c r="H15" s="244">
        <v>423</v>
      </c>
      <c r="I15" s="42"/>
      <c r="J15" s="42">
        <v>385</v>
      </c>
      <c r="K15" s="42">
        <v>372</v>
      </c>
      <c r="L15" s="35"/>
      <c r="M15" s="154">
        <f t="shared" si="0"/>
        <v>2429</v>
      </c>
      <c r="N15" s="100">
        <v>3</v>
      </c>
      <c r="O15" s="100">
        <v>5</v>
      </c>
      <c r="P15" s="154">
        <v>-94</v>
      </c>
      <c r="Q15" s="100">
        <v>0</v>
      </c>
      <c r="R15" s="103"/>
      <c r="S15" s="103"/>
      <c r="T15" s="103">
        <v>1</v>
      </c>
    </row>
    <row r="16" spans="1:20" s="114" customFormat="1" ht="15.75">
      <c r="A16" s="26" t="s">
        <v>10</v>
      </c>
      <c r="B16" s="57" t="s">
        <v>21</v>
      </c>
      <c r="C16" s="43">
        <v>366</v>
      </c>
      <c r="D16" s="43">
        <v>396</v>
      </c>
      <c r="E16" s="243">
        <v>431</v>
      </c>
      <c r="F16" s="43"/>
      <c r="G16" s="43"/>
      <c r="H16" s="43">
        <v>411</v>
      </c>
      <c r="I16" s="43"/>
      <c r="J16" s="243">
        <v>412</v>
      </c>
      <c r="K16" s="43">
        <v>411</v>
      </c>
      <c r="L16" s="39"/>
      <c r="M16" s="109">
        <f t="shared" si="0"/>
        <v>2427</v>
      </c>
      <c r="N16" s="110">
        <v>2</v>
      </c>
      <c r="O16" s="110">
        <v>6</v>
      </c>
      <c r="P16" s="110">
        <v>-26</v>
      </c>
      <c r="Q16" s="110">
        <v>0</v>
      </c>
      <c r="R16" s="113"/>
      <c r="S16" s="113"/>
      <c r="T16" s="113">
        <v>1</v>
      </c>
    </row>
    <row r="17" spans="1:20" s="148" customFormat="1" ht="15.75">
      <c r="A17" s="100" t="s">
        <v>11</v>
      </c>
      <c r="B17" s="121" t="s">
        <v>26</v>
      </c>
      <c r="C17" s="120"/>
      <c r="D17" s="120">
        <v>388</v>
      </c>
      <c r="E17" s="258">
        <v>433</v>
      </c>
      <c r="F17" s="258">
        <v>458</v>
      </c>
      <c r="G17" s="120"/>
      <c r="H17" s="120">
        <v>405</v>
      </c>
      <c r="I17" s="120">
        <v>372</v>
      </c>
      <c r="J17" s="120"/>
      <c r="K17" s="120">
        <v>425</v>
      </c>
      <c r="L17" s="157"/>
      <c r="M17" s="175">
        <f t="shared" si="0"/>
        <v>2481</v>
      </c>
      <c r="N17" s="145">
        <v>2</v>
      </c>
      <c r="O17" s="145">
        <v>6</v>
      </c>
      <c r="P17" s="175">
        <v>-154</v>
      </c>
      <c r="Q17" s="145">
        <v>0</v>
      </c>
      <c r="R17" s="176"/>
      <c r="S17" s="176"/>
      <c r="T17" s="176">
        <v>1</v>
      </c>
    </row>
    <row r="18" spans="1:20" s="114" customFormat="1" ht="15.75">
      <c r="A18" s="26" t="s">
        <v>12</v>
      </c>
      <c r="B18" s="57" t="s">
        <v>208</v>
      </c>
      <c r="C18" s="43">
        <v>374</v>
      </c>
      <c r="D18" s="43">
        <v>397</v>
      </c>
      <c r="E18" s="243">
        <v>467</v>
      </c>
      <c r="F18" s="43">
        <v>430</v>
      </c>
      <c r="G18" s="43"/>
      <c r="H18" s="43">
        <v>408</v>
      </c>
      <c r="I18" s="43"/>
      <c r="J18" s="43"/>
      <c r="K18" s="43">
        <v>429</v>
      </c>
      <c r="L18" s="39"/>
      <c r="M18" s="109">
        <f t="shared" si="0"/>
        <v>2505</v>
      </c>
      <c r="N18" s="110">
        <v>1</v>
      </c>
      <c r="O18" s="110">
        <v>7</v>
      </c>
      <c r="P18" s="109">
        <v>-128</v>
      </c>
      <c r="Q18" s="110">
        <v>0</v>
      </c>
      <c r="R18" s="113"/>
      <c r="S18" s="113"/>
      <c r="T18" s="113">
        <v>1</v>
      </c>
    </row>
    <row r="19" spans="1:20" s="23" customFormat="1" ht="15.75">
      <c r="A19" s="145" t="s">
        <v>13</v>
      </c>
      <c r="B19" s="153" t="s">
        <v>211</v>
      </c>
      <c r="C19" s="146">
        <v>387</v>
      </c>
      <c r="D19" s="146"/>
      <c r="E19" s="146">
        <v>417</v>
      </c>
      <c r="F19" s="257">
        <v>424</v>
      </c>
      <c r="G19" s="146"/>
      <c r="H19" s="257">
        <v>419</v>
      </c>
      <c r="I19" s="146">
        <v>377</v>
      </c>
      <c r="J19" s="146"/>
      <c r="K19" s="257">
        <v>435</v>
      </c>
      <c r="L19" s="165"/>
      <c r="M19" s="21">
        <f t="shared" si="0"/>
        <v>2459</v>
      </c>
      <c r="N19" s="19">
        <v>3</v>
      </c>
      <c r="O19" s="19">
        <v>5</v>
      </c>
      <c r="P19" s="21">
        <v>-13</v>
      </c>
      <c r="Q19" s="19">
        <v>0</v>
      </c>
      <c r="R19" s="22"/>
      <c r="S19" s="22"/>
      <c r="T19" s="22">
        <v>1</v>
      </c>
    </row>
    <row r="20" spans="1:20" s="114" customFormat="1" ht="15.75">
      <c r="A20" s="26" t="s">
        <v>14</v>
      </c>
      <c r="B20" s="57" t="s">
        <v>20</v>
      </c>
      <c r="C20" s="243">
        <v>399</v>
      </c>
      <c r="D20" s="43">
        <v>393</v>
      </c>
      <c r="E20" s="243">
        <v>417</v>
      </c>
      <c r="F20" s="43">
        <v>398</v>
      </c>
      <c r="G20" s="43"/>
      <c r="H20" s="43">
        <v>391</v>
      </c>
      <c r="I20" s="43"/>
      <c r="J20" s="43"/>
      <c r="K20" s="243">
        <v>411</v>
      </c>
      <c r="L20" s="39"/>
      <c r="M20" s="109">
        <f t="shared" si="0"/>
        <v>2409</v>
      </c>
      <c r="N20" s="110">
        <v>3</v>
      </c>
      <c r="O20" s="110">
        <v>5</v>
      </c>
      <c r="P20" s="109">
        <v>-63</v>
      </c>
      <c r="Q20" s="110">
        <v>0</v>
      </c>
      <c r="R20" s="113"/>
      <c r="S20" s="113"/>
      <c r="T20" s="113">
        <v>1</v>
      </c>
    </row>
    <row r="21" spans="1:20" s="104" customFormat="1" ht="15.75">
      <c r="A21" s="19" t="s">
        <v>261</v>
      </c>
      <c r="B21" s="137" t="s">
        <v>22</v>
      </c>
      <c r="C21" s="42">
        <v>351</v>
      </c>
      <c r="D21" s="42">
        <v>389</v>
      </c>
      <c r="E21" s="42">
        <v>407</v>
      </c>
      <c r="F21" s="244">
        <v>420</v>
      </c>
      <c r="G21" s="42"/>
      <c r="H21" s="244">
        <v>430</v>
      </c>
      <c r="I21" s="42"/>
      <c r="J21" s="244">
        <v>412</v>
      </c>
      <c r="K21" s="42"/>
      <c r="L21" s="35"/>
      <c r="M21" s="21">
        <f t="shared" si="0"/>
        <v>2409</v>
      </c>
      <c r="N21" s="100">
        <v>3</v>
      </c>
      <c r="O21" s="100">
        <v>5</v>
      </c>
      <c r="P21" s="154">
        <v>-25</v>
      </c>
      <c r="Q21" s="100">
        <v>0</v>
      </c>
      <c r="R21" s="103"/>
      <c r="S21" s="103"/>
      <c r="T21" s="103">
        <v>1</v>
      </c>
    </row>
    <row r="22" spans="1:20" s="23" customFormat="1" ht="16.5" thickBot="1">
      <c r="A22" s="145" t="s">
        <v>262</v>
      </c>
      <c r="B22" s="153" t="s">
        <v>255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1"/>
      <c r="M22" s="24" t="s">
        <v>255</v>
      </c>
      <c r="N22" s="217"/>
      <c r="O22" s="217"/>
      <c r="P22" s="218"/>
      <c r="Q22" s="217"/>
      <c r="R22" s="219"/>
      <c r="S22" s="219"/>
      <c r="T22" s="219"/>
    </row>
    <row r="23" spans="3:20" ht="16.5" thickTop="1">
      <c r="C23" s="6">
        <f>SUM(C6:C22)</f>
        <v>5879</v>
      </c>
      <c r="D23" s="6">
        <f>SUM(D6:D22)</f>
        <v>4320</v>
      </c>
      <c r="E23" s="6">
        <f>SUM(E7:E22)</f>
        <v>5082</v>
      </c>
      <c r="F23" s="6">
        <f>SUM(F6:F22)</f>
        <v>5991</v>
      </c>
      <c r="G23" s="6">
        <f>SUM(G6:G22)</f>
        <v>0</v>
      </c>
      <c r="H23" s="6">
        <f>SUM(H6:H7)+SUM(H9:H22)</f>
        <v>6034</v>
      </c>
      <c r="I23" s="6">
        <f>SUM(I6:I8)+SUM(I10:I22)</f>
        <v>2267</v>
      </c>
      <c r="J23" s="6">
        <f>SUM(J6:J22)</f>
        <v>2846</v>
      </c>
      <c r="K23" s="6">
        <f>SUM(K7:K22)</f>
        <v>5373</v>
      </c>
      <c r="L23" s="6">
        <f>SUM(L10:L22)</f>
        <v>0</v>
      </c>
      <c r="R23" s="2">
        <f>SUM(R6:R22)</f>
        <v>1</v>
      </c>
      <c r="S23" s="2">
        <f>SUM(S6:S22)</f>
        <v>0</v>
      </c>
      <c r="T23" s="2">
        <f>SUM(T6:T22)</f>
        <v>15</v>
      </c>
    </row>
    <row r="24" spans="2:12" ht="15.75">
      <c r="B24" s="1" t="s">
        <v>225</v>
      </c>
      <c r="C24" s="6">
        <f aca="true" t="shared" si="1" ref="C24:J24">COUNT(C6:C22)</f>
        <v>15</v>
      </c>
      <c r="D24" s="6">
        <f t="shared" si="1"/>
        <v>11</v>
      </c>
      <c r="E24" s="6">
        <f>COUNT(E7:E22)</f>
        <v>12</v>
      </c>
      <c r="F24" s="6">
        <f t="shared" si="1"/>
        <v>14</v>
      </c>
      <c r="G24" s="6">
        <f t="shared" si="1"/>
        <v>0</v>
      </c>
      <c r="H24" s="6">
        <f>COUNT(H6:H7)+COUNT(H9:H22)</f>
        <v>15</v>
      </c>
      <c r="I24" s="6">
        <f>COUNT(I6:I8)+COUNT(I10:I22)</f>
        <v>6</v>
      </c>
      <c r="J24" s="6">
        <f t="shared" si="1"/>
        <v>7</v>
      </c>
      <c r="K24" s="6">
        <f>COUNT(K7:K22)</f>
        <v>13</v>
      </c>
      <c r="L24" s="6">
        <f>COUNT(L10:L22)</f>
        <v>0</v>
      </c>
    </row>
    <row r="25" spans="2:20" ht="31.5">
      <c r="B25" s="11" t="s">
        <v>127</v>
      </c>
      <c r="C25" s="16">
        <f>C23/C24</f>
        <v>391.93333333333334</v>
      </c>
      <c r="D25" s="16">
        <f>AVERAGE(D6:D22)</f>
        <v>392.72727272727275</v>
      </c>
      <c r="E25" s="16">
        <f>AVERAGE(E7:E22)</f>
        <v>423.5</v>
      </c>
      <c r="F25" s="16">
        <f>AVERAGE(F6:F22)</f>
        <v>427.92857142857144</v>
      </c>
      <c r="G25" s="16"/>
      <c r="H25" s="16">
        <f>H23/H24</f>
        <v>402.26666666666665</v>
      </c>
      <c r="I25" s="16">
        <f>I23/I24</f>
        <v>377.8333333333333</v>
      </c>
      <c r="J25" s="16">
        <f>J23/J24</f>
        <v>406.57142857142856</v>
      </c>
      <c r="K25" s="16">
        <f>AVERAGE(K7:K22)</f>
        <v>413.3076923076923</v>
      </c>
      <c r="L25" s="16"/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39023</v>
      </c>
      <c r="N26" s="1">
        <f>SUM(N6:N22)</f>
        <v>37</v>
      </c>
      <c r="O26" s="1">
        <f>SUM(O6:O22)</f>
        <v>91</v>
      </c>
      <c r="P26" s="1">
        <f>SUM(P6:P22)</f>
        <v>-1450</v>
      </c>
      <c r="Q26" s="1">
        <f>SUM(Q6:Q22)</f>
        <v>2</v>
      </c>
      <c r="S26" s="2">
        <f>N26-O26</f>
        <v>-54</v>
      </c>
      <c r="T26" s="2">
        <f>SUM(R23:T23)</f>
        <v>16</v>
      </c>
    </row>
    <row r="28" spans="3:10" ht="15.75">
      <c r="C28" s="377" t="s">
        <v>39</v>
      </c>
      <c r="D28" s="377"/>
      <c r="E28" s="9"/>
      <c r="F28" s="375" t="s">
        <v>132</v>
      </c>
      <c r="G28" s="375"/>
      <c r="I28" s="376" t="s">
        <v>133</v>
      </c>
      <c r="J28" s="376"/>
    </row>
    <row r="29" spans="1:20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226"/>
      <c r="S29" s="226"/>
      <c r="T29" s="226"/>
    </row>
    <row r="30" ht="15.75">
      <c r="H30" s="49"/>
    </row>
    <row r="31" spans="2:20" ht="34.5" customHeight="1" thickBot="1">
      <c r="B31" s="3" t="s">
        <v>25</v>
      </c>
      <c r="C31" s="8" t="s">
        <v>175</v>
      </c>
      <c r="D31" s="8" t="s">
        <v>176</v>
      </c>
      <c r="E31" s="8" t="s">
        <v>36</v>
      </c>
      <c r="F31" s="8" t="s">
        <v>177</v>
      </c>
      <c r="G31" s="8" t="s">
        <v>178</v>
      </c>
      <c r="H31" s="8" t="s">
        <v>179</v>
      </c>
      <c r="I31" s="8" t="s">
        <v>180</v>
      </c>
      <c r="J31" s="8" t="s">
        <v>148</v>
      </c>
      <c r="K31" s="8" t="s">
        <v>190</v>
      </c>
      <c r="L31" s="8" t="s">
        <v>32</v>
      </c>
      <c r="M31" s="11" t="s">
        <v>30</v>
      </c>
      <c r="N31" s="11" t="s">
        <v>166</v>
      </c>
      <c r="O31" s="11" t="s">
        <v>29</v>
      </c>
      <c r="P31" s="11" t="s">
        <v>31</v>
      </c>
      <c r="Q31" s="10" t="s">
        <v>114</v>
      </c>
      <c r="R31" s="2" t="s">
        <v>184</v>
      </c>
      <c r="S31" s="2" t="s">
        <v>185</v>
      </c>
      <c r="T31" s="2" t="s">
        <v>186</v>
      </c>
    </row>
    <row r="32" spans="1:20" s="23" customFormat="1" ht="15.75">
      <c r="A32" s="145" t="s">
        <v>153</v>
      </c>
      <c r="B32" s="153" t="s">
        <v>16</v>
      </c>
      <c r="C32" s="33">
        <v>383</v>
      </c>
      <c r="D32" s="33"/>
      <c r="E32" s="33">
        <v>425</v>
      </c>
      <c r="F32" s="252">
        <v>451</v>
      </c>
      <c r="G32" s="33"/>
      <c r="H32" s="33">
        <v>409</v>
      </c>
      <c r="I32" s="33"/>
      <c r="J32" s="33">
        <v>404</v>
      </c>
      <c r="K32" s="33">
        <v>377</v>
      </c>
      <c r="L32" s="33"/>
      <c r="M32" s="69">
        <f>SUM(C32:L32)</f>
        <v>2449</v>
      </c>
      <c r="N32" s="19">
        <v>1</v>
      </c>
      <c r="O32" s="19">
        <v>7</v>
      </c>
      <c r="P32" s="19">
        <v>-175</v>
      </c>
      <c r="Q32" s="19">
        <v>0</v>
      </c>
      <c r="T32" s="23">
        <v>1</v>
      </c>
    </row>
    <row r="33" spans="1:20" s="114" customFormat="1" ht="15.75">
      <c r="A33" s="26" t="s">
        <v>154</v>
      </c>
      <c r="B33" s="57" t="s">
        <v>205</v>
      </c>
      <c r="C33" s="111">
        <v>391</v>
      </c>
      <c r="D33" s="256">
        <v>408</v>
      </c>
      <c r="E33" s="111">
        <v>382</v>
      </c>
      <c r="F33" s="256">
        <v>413</v>
      </c>
      <c r="G33" s="111"/>
      <c r="H33" s="111">
        <v>399</v>
      </c>
      <c r="I33" s="111"/>
      <c r="J33" s="111"/>
      <c r="K33" s="111">
        <v>403</v>
      </c>
      <c r="L33" s="111"/>
      <c r="M33" s="112">
        <f aca="true" t="shared" si="2" ref="M33:M48">SUM(C33:L33)</f>
        <v>2396</v>
      </c>
      <c r="N33" s="110">
        <v>2</v>
      </c>
      <c r="O33" s="110">
        <v>6</v>
      </c>
      <c r="P33" s="110">
        <v>-83</v>
      </c>
      <c r="Q33" s="110">
        <v>0</v>
      </c>
      <c r="T33" s="114">
        <v>1</v>
      </c>
    </row>
    <row r="34" spans="1:20" s="148" customFormat="1" ht="15.75">
      <c r="A34" s="100" t="s">
        <v>155</v>
      </c>
      <c r="B34" s="121" t="s">
        <v>21</v>
      </c>
      <c r="C34" s="289">
        <v>401</v>
      </c>
      <c r="D34" s="289"/>
      <c r="E34" s="289">
        <v>404</v>
      </c>
      <c r="F34" s="282">
        <v>420</v>
      </c>
      <c r="G34" s="289"/>
      <c r="H34" s="289">
        <v>380</v>
      </c>
      <c r="I34" s="289"/>
      <c r="J34" s="282">
        <v>407</v>
      </c>
      <c r="K34" s="289">
        <v>392</v>
      </c>
      <c r="L34" s="289"/>
      <c r="M34" s="147">
        <f t="shared" si="2"/>
        <v>2404</v>
      </c>
      <c r="N34" s="145">
        <v>2</v>
      </c>
      <c r="O34" s="145">
        <v>6</v>
      </c>
      <c r="P34" s="145">
        <v>-115</v>
      </c>
      <c r="Q34" s="145">
        <v>0</v>
      </c>
      <c r="T34" s="148">
        <v>1</v>
      </c>
    </row>
    <row r="35" spans="1:20" s="114" customFormat="1" ht="15.75">
      <c r="A35" s="26" t="s">
        <v>156</v>
      </c>
      <c r="B35" s="57" t="s">
        <v>26</v>
      </c>
      <c r="C35" s="111">
        <v>386</v>
      </c>
      <c r="D35" s="111"/>
      <c r="E35" s="111">
        <v>364</v>
      </c>
      <c r="F35" s="111">
        <v>390</v>
      </c>
      <c r="G35" s="111"/>
      <c r="H35" s="256">
        <v>450</v>
      </c>
      <c r="I35" s="111"/>
      <c r="J35" s="256">
        <v>444</v>
      </c>
      <c r="K35" s="111">
        <v>398</v>
      </c>
      <c r="L35" s="111"/>
      <c r="M35" s="112">
        <f t="shared" si="2"/>
        <v>2432</v>
      </c>
      <c r="N35" s="110">
        <v>2</v>
      </c>
      <c r="O35" s="110">
        <v>6</v>
      </c>
      <c r="P35" s="110">
        <v>-196</v>
      </c>
      <c r="Q35" s="110">
        <v>0</v>
      </c>
      <c r="T35" s="114">
        <v>1</v>
      </c>
    </row>
    <row r="36" spans="1:20" s="104" customFormat="1" ht="15.75">
      <c r="A36" s="19" t="s">
        <v>157</v>
      </c>
      <c r="B36" s="137" t="s">
        <v>208</v>
      </c>
      <c r="C36" s="101">
        <v>373</v>
      </c>
      <c r="D36" s="101">
        <v>406</v>
      </c>
      <c r="E36" s="101"/>
      <c r="F36" s="323">
        <v>419</v>
      </c>
      <c r="G36" s="101"/>
      <c r="H36" s="323">
        <v>409</v>
      </c>
      <c r="I36" s="101"/>
      <c r="J36" s="101">
        <v>401</v>
      </c>
      <c r="K36" s="323">
        <v>432</v>
      </c>
      <c r="L36" s="101"/>
      <c r="M36" s="102">
        <f t="shared" si="2"/>
        <v>2440</v>
      </c>
      <c r="N36" s="100">
        <v>3</v>
      </c>
      <c r="O36" s="100">
        <v>5</v>
      </c>
      <c r="P36" s="100">
        <v>-102</v>
      </c>
      <c r="Q36" s="100">
        <v>0</v>
      </c>
      <c r="T36" s="104">
        <v>1</v>
      </c>
    </row>
    <row r="37" spans="1:20" s="114" customFormat="1" ht="15.75">
      <c r="A37" s="26" t="s">
        <v>158</v>
      </c>
      <c r="B37" s="57" t="s">
        <v>211</v>
      </c>
      <c r="C37" s="111">
        <v>380</v>
      </c>
      <c r="D37" s="111">
        <v>366</v>
      </c>
      <c r="E37" s="256">
        <v>420</v>
      </c>
      <c r="F37" s="111">
        <v>389</v>
      </c>
      <c r="G37" s="111"/>
      <c r="H37" s="256">
        <v>420</v>
      </c>
      <c r="I37" s="111"/>
      <c r="J37" s="111"/>
      <c r="K37" s="111">
        <v>413</v>
      </c>
      <c r="L37" s="111"/>
      <c r="M37" s="112">
        <f t="shared" si="2"/>
        <v>2388</v>
      </c>
      <c r="N37" s="110">
        <v>2</v>
      </c>
      <c r="O37" s="110">
        <v>6</v>
      </c>
      <c r="P37" s="110">
        <v>-80</v>
      </c>
      <c r="Q37" s="110">
        <v>0</v>
      </c>
      <c r="T37" s="114">
        <v>1</v>
      </c>
    </row>
    <row r="38" spans="1:18" s="23" customFormat="1" ht="15.75">
      <c r="A38" s="145" t="s">
        <v>159</v>
      </c>
      <c r="B38" s="153" t="s">
        <v>20</v>
      </c>
      <c r="C38" s="33">
        <v>398</v>
      </c>
      <c r="D38" s="33"/>
      <c r="E38" s="252">
        <v>413</v>
      </c>
      <c r="F38" s="252">
        <v>413</v>
      </c>
      <c r="G38" s="33"/>
      <c r="H38" s="252">
        <v>408</v>
      </c>
      <c r="I38" s="33">
        <v>375</v>
      </c>
      <c r="J38" s="33"/>
      <c r="K38" s="33">
        <v>393</v>
      </c>
      <c r="L38" s="33"/>
      <c r="M38" s="69">
        <f t="shared" si="2"/>
        <v>2400</v>
      </c>
      <c r="N38" s="19">
        <v>5</v>
      </c>
      <c r="O38" s="19">
        <v>3</v>
      </c>
      <c r="P38" s="19">
        <v>2</v>
      </c>
      <c r="Q38" s="19">
        <v>2</v>
      </c>
      <c r="R38" s="23">
        <v>1</v>
      </c>
    </row>
    <row r="39" spans="1:18" s="114" customFormat="1" ht="15.75">
      <c r="A39" s="26" t="s">
        <v>160</v>
      </c>
      <c r="B39" s="57" t="s">
        <v>22</v>
      </c>
      <c r="C39" s="111">
        <v>410</v>
      </c>
      <c r="D39" s="111"/>
      <c r="E39" s="111">
        <v>389</v>
      </c>
      <c r="F39" s="256">
        <v>457</v>
      </c>
      <c r="G39" s="111"/>
      <c r="H39" s="256">
        <v>446</v>
      </c>
      <c r="I39" s="111"/>
      <c r="J39" s="256">
        <v>418</v>
      </c>
      <c r="K39" s="111">
        <v>386</v>
      </c>
      <c r="L39" s="111"/>
      <c r="M39" s="112">
        <f t="shared" si="2"/>
        <v>2506</v>
      </c>
      <c r="N39" s="110">
        <v>5</v>
      </c>
      <c r="O39" s="110">
        <v>3</v>
      </c>
      <c r="P39" s="110">
        <v>20</v>
      </c>
      <c r="Q39" s="110">
        <v>2</v>
      </c>
      <c r="R39" s="114">
        <v>1</v>
      </c>
    </row>
    <row r="40" spans="1:17" s="299" customFormat="1" ht="15.75">
      <c r="A40" s="293" t="s">
        <v>161</v>
      </c>
      <c r="B40" s="294" t="s">
        <v>255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7">
        <f t="shared" si="2"/>
        <v>0</v>
      </c>
      <c r="N40" s="293"/>
      <c r="O40" s="293"/>
      <c r="P40" s="293"/>
      <c r="Q40" s="293"/>
    </row>
    <row r="41" spans="1:20" s="104" customFormat="1" ht="15.75">
      <c r="A41" s="19" t="s">
        <v>162</v>
      </c>
      <c r="B41" s="137" t="s">
        <v>19</v>
      </c>
      <c r="C41" s="101">
        <v>398</v>
      </c>
      <c r="D41" s="101">
        <v>395</v>
      </c>
      <c r="E41" s="101">
        <v>419</v>
      </c>
      <c r="F41" s="101">
        <v>397</v>
      </c>
      <c r="G41" s="101"/>
      <c r="H41" s="323">
        <v>435</v>
      </c>
      <c r="I41" s="101"/>
      <c r="J41" s="101"/>
      <c r="K41" s="323">
        <v>440</v>
      </c>
      <c r="L41" s="101"/>
      <c r="M41" s="102">
        <f t="shared" si="2"/>
        <v>2484</v>
      </c>
      <c r="N41" s="100">
        <v>2</v>
      </c>
      <c r="O41" s="100">
        <v>6</v>
      </c>
      <c r="P41" s="100">
        <v>-65</v>
      </c>
      <c r="Q41" s="100">
        <v>0</v>
      </c>
      <c r="T41" s="104">
        <v>1</v>
      </c>
    </row>
    <row r="42" spans="1:20" s="114" customFormat="1" ht="15.75">
      <c r="A42" s="26" t="s">
        <v>163</v>
      </c>
      <c r="B42" s="57" t="s">
        <v>24</v>
      </c>
      <c r="C42" s="111">
        <v>413</v>
      </c>
      <c r="D42" s="111">
        <v>402</v>
      </c>
      <c r="E42" s="111"/>
      <c r="F42" s="256">
        <v>426</v>
      </c>
      <c r="G42" s="111"/>
      <c r="H42" s="111">
        <v>395</v>
      </c>
      <c r="I42" s="111">
        <v>387</v>
      </c>
      <c r="J42" s="111"/>
      <c r="K42" s="256">
        <v>414</v>
      </c>
      <c r="L42" s="111"/>
      <c r="M42" s="112">
        <f t="shared" si="2"/>
        <v>2437</v>
      </c>
      <c r="N42" s="110">
        <v>2</v>
      </c>
      <c r="O42" s="110">
        <v>6</v>
      </c>
      <c r="P42" s="110">
        <v>-91</v>
      </c>
      <c r="Q42" s="110">
        <v>0</v>
      </c>
      <c r="T42" s="114">
        <v>1</v>
      </c>
    </row>
    <row r="43" spans="1:20" s="23" customFormat="1" ht="15.75">
      <c r="A43" s="145" t="s">
        <v>164</v>
      </c>
      <c r="B43" s="153" t="s">
        <v>17</v>
      </c>
      <c r="C43" s="33">
        <v>384</v>
      </c>
      <c r="D43" s="33"/>
      <c r="E43" s="33">
        <v>426</v>
      </c>
      <c r="F43" s="252">
        <v>453</v>
      </c>
      <c r="G43" s="33"/>
      <c r="H43" s="33">
        <v>386</v>
      </c>
      <c r="I43" s="33">
        <v>390</v>
      </c>
      <c r="J43" s="33"/>
      <c r="K43" s="252">
        <v>436</v>
      </c>
      <c r="L43" s="33"/>
      <c r="M43" s="69">
        <f t="shared" si="2"/>
        <v>2475</v>
      </c>
      <c r="N43" s="19">
        <v>2</v>
      </c>
      <c r="O43" s="19">
        <v>6</v>
      </c>
      <c r="P43" s="19">
        <v>-183</v>
      </c>
      <c r="Q43" s="19">
        <v>0</v>
      </c>
      <c r="T43" s="23">
        <v>1</v>
      </c>
    </row>
    <row r="44" spans="1:20" s="114" customFormat="1" ht="15.75">
      <c r="A44" s="26" t="s">
        <v>165</v>
      </c>
      <c r="B44" s="57" t="s">
        <v>15</v>
      </c>
      <c r="C44" s="111">
        <v>403</v>
      </c>
      <c r="D44" s="111">
        <v>406</v>
      </c>
      <c r="E44" s="256">
        <v>428</v>
      </c>
      <c r="F44" s="111"/>
      <c r="G44" s="111"/>
      <c r="H44" s="111">
        <v>403</v>
      </c>
      <c r="I44" s="111"/>
      <c r="J44" s="256">
        <v>418</v>
      </c>
      <c r="K44" s="111">
        <v>384</v>
      </c>
      <c r="L44" s="111"/>
      <c r="M44" s="112">
        <f t="shared" si="2"/>
        <v>2442</v>
      </c>
      <c r="N44" s="110">
        <v>2</v>
      </c>
      <c r="O44" s="110">
        <v>6</v>
      </c>
      <c r="P44" s="110">
        <v>-88</v>
      </c>
      <c r="Q44" s="110">
        <v>0</v>
      </c>
      <c r="T44" s="114">
        <v>1</v>
      </c>
    </row>
    <row r="45" spans="1:20" s="148" customFormat="1" ht="15.75">
      <c r="A45" s="100" t="s">
        <v>265</v>
      </c>
      <c r="B45" s="121" t="s">
        <v>263</v>
      </c>
      <c r="C45" s="289">
        <v>372</v>
      </c>
      <c r="D45" s="282">
        <v>423</v>
      </c>
      <c r="E45" s="289">
        <v>422</v>
      </c>
      <c r="F45" s="282">
        <v>434</v>
      </c>
      <c r="G45" s="289"/>
      <c r="H45" s="289">
        <v>362</v>
      </c>
      <c r="I45" s="289"/>
      <c r="J45" s="289"/>
      <c r="K45" s="289">
        <v>393</v>
      </c>
      <c r="L45" s="289"/>
      <c r="M45" s="147">
        <f t="shared" si="2"/>
        <v>2406</v>
      </c>
      <c r="N45" s="145">
        <v>2</v>
      </c>
      <c r="O45" s="145">
        <v>6</v>
      </c>
      <c r="P45" s="145">
        <v>-162</v>
      </c>
      <c r="Q45" s="145">
        <v>0</v>
      </c>
      <c r="T45" s="148">
        <v>1</v>
      </c>
    </row>
    <row r="46" spans="1:20" s="114" customFormat="1" ht="15.75">
      <c r="A46" s="26" t="s">
        <v>266</v>
      </c>
      <c r="B46" s="57" t="s">
        <v>23</v>
      </c>
      <c r="C46" s="111">
        <v>366</v>
      </c>
      <c r="D46" s="111">
        <v>384</v>
      </c>
      <c r="E46" s="111"/>
      <c r="F46" s="346">
        <v>419</v>
      </c>
      <c r="G46" s="111"/>
      <c r="H46" s="111">
        <v>391</v>
      </c>
      <c r="I46" s="111"/>
      <c r="J46" s="111">
        <v>401</v>
      </c>
      <c r="K46" s="256">
        <v>407</v>
      </c>
      <c r="L46" s="111"/>
      <c r="M46" s="112">
        <f t="shared" si="2"/>
        <v>2368</v>
      </c>
      <c r="N46" s="110">
        <v>2</v>
      </c>
      <c r="O46" s="110">
        <v>6</v>
      </c>
      <c r="P46" s="110">
        <v>-156</v>
      </c>
      <c r="Q46" s="110">
        <v>0</v>
      </c>
      <c r="T46" s="114">
        <v>1</v>
      </c>
    </row>
    <row r="47" spans="1:20" s="104" customFormat="1" ht="15.75">
      <c r="A47" s="19" t="s">
        <v>303</v>
      </c>
      <c r="B47" s="137" t="s">
        <v>260</v>
      </c>
      <c r="C47" s="101">
        <v>390</v>
      </c>
      <c r="D47" s="101">
        <v>396</v>
      </c>
      <c r="E47" s="347">
        <v>413</v>
      </c>
      <c r="F47" s="101"/>
      <c r="G47" s="101"/>
      <c r="H47" s="101">
        <v>408</v>
      </c>
      <c r="I47" s="347">
        <v>412</v>
      </c>
      <c r="J47" s="101"/>
      <c r="K47" s="101">
        <v>370</v>
      </c>
      <c r="L47" s="101"/>
      <c r="M47" s="102">
        <f t="shared" si="2"/>
        <v>2389</v>
      </c>
      <c r="N47" s="100">
        <v>2</v>
      </c>
      <c r="O47" s="100">
        <v>6</v>
      </c>
      <c r="P47" s="100">
        <v>-76</v>
      </c>
      <c r="Q47" s="100">
        <v>0</v>
      </c>
      <c r="T47" s="104">
        <v>1</v>
      </c>
    </row>
    <row r="48" spans="1:20" s="114" customFormat="1" ht="16.5" thickBot="1">
      <c r="A48" s="26" t="s">
        <v>304</v>
      </c>
      <c r="B48" s="57" t="s">
        <v>209</v>
      </c>
      <c r="C48" s="365">
        <v>402</v>
      </c>
      <c r="D48" s="115"/>
      <c r="E48" s="115">
        <v>384</v>
      </c>
      <c r="F48" s="365">
        <v>426</v>
      </c>
      <c r="G48" s="115"/>
      <c r="H48" s="115">
        <v>361</v>
      </c>
      <c r="I48" s="115"/>
      <c r="J48" s="365">
        <v>400</v>
      </c>
      <c r="K48" s="115">
        <v>364</v>
      </c>
      <c r="L48" s="115"/>
      <c r="M48" s="112">
        <f t="shared" si="2"/>
        <v>2337</v>
      </c>
      <c r="N48" s="116">
        <v>3</v>
      </c>
      <c r="O48" s="116">
        <v>5</v>
      </c>
      <c r="P48" s="116">
        <f>M48-2382</f>
        <v>-45</v>
      </c>
      <c r="Q48" s="116">
        <v>0</v>
      </c>
      <c r="R48" s="126"/>
      <c r="S48" s="126"/>
      <c r="T48" s="126">
        <v>1</v>
      </c>
    </row>
    <row r="49" spans="3:20" ht="16.5" thickTop="1">
      <c r="C49" s="7">
        <f>SUM(C32:C48)</f>
        <v>6250</v>
      </c>
      <c r="D49" s="7">
        <f aca="true" t="shared" si="3" ref="D49:L49">SUM(D32:D48)</f>
        <v>3586</v>
      </c>
      <c r="E49" s="7">
        <f t="shared" si="3"/>
        <v>5289</v>
      </c>
      <c r="F49" s="7">
        <f t="shared" si="3"/>
        <v>5907</v>
      </c>
      <c r="G49" s="7">
        <f t="shared" si="3"/>
        <v>0</v>
      </c>
      <c r="H49" s="7">
        <f t="shared" si="3"/>
        <v>6462</v>
      </c>
      <c r="I49" s="7">
        <f t="shared" si="3"/>
        <v>1564</v>
      </c>
      <c r="J49" s="7">
        <f t="shared" si="3"/>
        <v>3293</v>
      </c>
      <c r="K49" s="7">
        <f>SUM(K32:K48)</f>
        <v>6402</v>
      </c>
      <c r="L49" s="7">
        <f t="shared" si="3"/>
        <v>0</v>
      </c>
      <c r="N49" s="1">
        <f>SUM(N32:N48)</f>
        <v>39</v>
      </c>
      <c r="O49" s="1">
        <f>SUM(O32:O48)</f>
        <v>89</v>
      </c>
      <c r="P49" s="1">
        <f>SUM(P32:P48)</f>
        <v>-1595</v>
      </c>
      <c r="Q49" s="1">
        <f>SUM(Q32:Q48)</f>
        <v>4</v>
      </c>
      <c r="R49" s="1">
        <f>SUM(R32:R48)+R23</f>
        <v>3</v>
      </c>
      <c r="S49" s="1">
        <f>SUM(S32:S48)+S23</f>
        <v>0</v>
      </c>
      <c r="T49" s="1">
        <f>SUM(T32:T48)+T23</f>
        <v>29</v>
      </c>
    </row>
    <row r="50" spans="2:12" ht="31.5">
      <c r="B50" s="67" t="s">
        <v>250</v>
      </c>
      <c r="C50" s="1">
        <f>COUNT(C32:C48)</f>
        <v>16</v>
      </c>
      <c r="D50" s="1">
        <f aca="true" t="shared" si="4" ref="D50:L50">COUNT(D32:D48)</f>
        <v>9</v>
      </c>
      <c r="E50" s="1">
        <f t="shared" si="4"/>
        <v>13</v>
      </c>
      <c r="F50" s="1">
        <f t="shared" si="4"/>
        <v>14</v>
      </c>
      <c r="G50" s="1">
        <f t="shared" si="4"/>
        <v>0</v>
      </c>
      <c r="H50" s="1">
        <f t="shared" si="4"/>
        <v>16</v>
      </c>
      <c r="I50" s="1">
        <f t="shared" si="4"/>
        <v>4</v>
      </c>
      <c r="J50" s="1">
        <f t="shared" si="4"/>
        <v>8</v>
      </c>
      <c r="K50" s="1">
        <f>COUNT(K32:K48)</f>
        <v>16</v>
      </c>
      <c r="L50" s="1">
        <f t="shared" si="4"/>
        <v>0</v>
      </c>
    </row>
    <row r="51" spans="2:20" ht="31.5">
      <c r="B51" s="11" t="s">
        <v>249</v>
      </c>
      <c r="C51" s="16">
        <f aca="true" t="shared" si="5" ref="C51:K51">C49/C50</f>
        <v>390.625</v>
      </c>
      <c r="D51" s="16">
        <f t="shared" si="5"/>
        <v>398.44444444444446</v>
      </c>
      <c r="E51" s="16">
        <f t="shared" si="5"/>
        <v>406.84615384615387</v>
      </c>
      <c r="F51" s="16">
        <f>F49/F50</f>
        <v>421.92857142857144</v>
      </c>
      <c r="G51" s="16"/>
      <c r="H51" s="16">
        <f t="shared" si="5"/>
        <v>403.875</v>
      </c>
      <c r="I51" s="16">
        <f t="shared" si="5"/>
        <v>391</v>
      </c>
      <c r="J51" s="16">
        <f t="shared" si="5"/>
        <v>411.625</v>
      </c>
      <c r="K51" s="16">
        <f t="shared" si="5"/>
        <v>400.125</v>
      </c>
      <c r="L51" s="16"/>
      <c r="M51" s="3" t="s">
        <v>30</v>
      </c>
      <c r="N51" s="371" t="s">
        <v>115</v>
      </c>
      <c r="O51" s="371"/>
      <c r="P51" s="3" t="s">
        <v>31</v>
      </c>
      <c r="Q51" s="10" t="s">
        <v>116</v>
      </c>
      <c r="S51" s="74" t="s">
        <v>126</v>
      </c>
      <c r="T51" s="74" t="s">
        <v>223</v>
      </c>
    </row>
    <row r="52" spans="13:20" ht="15.75">
      <c r="M52" s="6">
        <f>SUM(M32:M48)+M26</f>
        <v>77776</v>
      </c>
      <c r="N52" s="6">
        <f>SUM(N32:N48)+N26</f>
        <v>76</v>
      </c>
      <c r="O52" s="6">
        <f>SUM(O32:O48)+O26</f>
        <v>180</v>
      </c>
      <c r="P52" s="6">
        <f>SUM(P32:P48)+P26</f>
        <v>-3045</v>
      </c>
      <c r="Q52" s="6">
        <f>SUM(Q32:Q48)+Q26</f>
        <v>6</v>
      </c>
      <c r="S52" s="2">
        <f>N52-O52</f>
        <v>-104</v>
      </c>
      <c r="T52" s="2">
        <f>SUM(R49:T49)</f>
        <v>32</v>
      </c>
    </row>
    <row r="54" spans="13:14" ht="15.75">
      <c r="M54" s="1" t="s">
        <v>128</v>
      </c>
      <c r="N54" s="18">
        <f>M52/T52</f>
        <v>2430.5</v>
      </c>
    </row>
  </sheetData>
  <sheetProtection/>
  <mergeCells count="9">
    <mergeCell ref="N51:O51"/>
    <mergeCell ref="F1:G1"/>
    <mergeCell ref="N4:O4"/>
    <mergeCell ref="C28:D28"/>
    <mergeCell ref="N25:O25"/>
    <mergeCell ref="I1:J1"/>
    <mergeCell ref="F28:G28"/>
    <mergeCell ref="I28:J28"/>
    <mergeCell ref="C4:L4"/>
  </mergeCells>
  <printOptions/>
  <pageMargins left="0.75" right="0.75" top="1" bottom="1" header="0.5" footer="0.5"/>
  <pageSetup horizontalDpi="600" verticalDpi="600" orientation="portrait" paperSize="9" r:id="rId1"/>
  <ignoredErrors>
    <ignoredError sqref="J2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T54"/>
  <sheetViews>
    <sheetView zoomScale="90" zoomScaleNormal="90" zoomScalePageLayoutView="0" workbookViewId="0" topLeftCell="A31">
      <selection activeCell="K51" sqref="K51:L51"/>
    </sheetView>
  </sheetViews>
  <sheetFormatPr defaultColWidth="9.00390625" defaultRowHeight="12.75"/>
  <cols>
    <col min="1" max="1" width="11.25390625" style="1" bestFit="1" customWidth="1"/>
    <col min="2" max="2" width="15.25390625" style="1" bestFit="1" customWidth="1"/>
    <col min="3" max="3" width="9.25390625" style="1" customWidth="1"/>
    <col min="4" max="5" width="14.00390625" style="1" customWidth="1"/>
    <col min="6" max="6" width="9.125" style="1" customWidth="1"/>
    <col min="7" max="7" width="11.375" style="1" customWidth="1"/>
    <col min="8" max="10" width="9.125" style="1" customWidth="1"/>
    <col min="11" max="11" width="12.00390625" style="1" customWidth="1"/>
    <col min="12" max="12" width="11.875" style="1" customWidth="1"/>
    <col min="13" max="13" width="16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4.625" style="1" customWidth="1"/>
    <col min="19" max="19" width="12.25390625" style="0" customWidth="1"/>
    <col min="20" max="20" width="12.125" style="0" customWidth="1"/>
  </cols>
  <sheetData>
    <row r="1" spans="1:17" ht="15.75">
      <c r="A1" s="58" t="s">
        <v>141</v>
      </c>
      <c r="B1" s="59"/>
      <c r="C1" s="58" t="s">
        <v>146</v>
      </c>
      <c r="D1" s="61"/>
      <c r="E1" s="61"/>
      <c r="F1" s="59" t="s">
        <v>145</v>
      </c>
      <c r="G1" s="372" t="s">
        <v>140</v>
      </c>
      <c r="H1" s="372"/>
      <c r="J1" s="371" t="s">
        <v>151</v>
      </c>
      <c r="K1" s="371"/>
      <c r="L1" s="3" t="s">
        <v>152</v>
      </c>
      <c r="M1" s="378" t="s">
        <v>126</v>
      </c>
      <c r="N1" s="378"/>
      <c r="P1" s="225" t="s">
        <v>128</v>
      </c>
      <c r="Q1" s="18">
        <f>M26/T26</f>
        <v>2486.5625</v>
      </c>
    </row>
    <row r="2" spans="10:17" ht="15.75">
      <c r="J2" s="1">
        <f>N26+N49</f>
        <v>122</v>
      </c>
      <c r="K2" s="1">
        <f>O26+O49</f>
        <v>134</v>
      </c>
      <c r="L2" s="1">
        <f>Q26+Q49</f>
        <v>27</v>
      </c>
      <c r="M2" s="374">
        <f>J2-K2</f>
        <v>-12</v>
      </c>
      <c r="N2" s="374"/>
      <c r="P2" s="225" t="s">
        <v>234</v>
      </c>
      <c r="Q2" s="6">
        <f>M6+M9+M11+M13+M15+M17+M19+M21</f>
        <v>19794</v>
      </c>
    </row>
    <row r="4" spans="3:20" ht="18" customHeight="1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54.75" customHeight="1" thickBot="1">
      <c r="B5" s="3" t="s">
        <v>25</v>
      </c>
      <c r="C5" s="8" t="s">
        <v>89</v>
      </c>
      <c r="D5" s="8" t="s">
        <v>76</v>
      </c>
      <c r="E5" s="8" t="s">
        <v>307</v>
      </c>
      <c r="F5" s="8" t="s">
        <v>77</v>
      </c>
      <c r="G5" s="8" t="s">
        <v>78</v>
      </c>
      <c r="H5" s="8" t="s">
        <v>79</v>
      </c>
      <c r="I5" s="8" t="s">
        <v>124</v>
      </c>
      <c r="J5" s="8" t="s">
        <v>80</v>
      </c>
      <c r="K5" s="8" t="s">
        <v>99</v>
      </c>
      <c r="L5" s="8" t="s">
        <v>197</v>
      </c>
      <c r="M5" s="3" t="s">
        <v>30</v>
      </c>
      <c r="N5" s="71" t="s">
        <v>205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209</v>
      </c>
      <c r="C6" s="43">
        <v>379</v>
      </c>
      <c r="D6" s="43"/>
      <c r="E6" s="43"/>
      <c r="F6" s="243">
        <v>426</v>
      </c>
      <c r="G6" s="43">
        <v>373</v>
      </c>
      <c r="H6" s="43">
        <v>375</v>
      </c>
      <c r="I6" s="43"/>
      <c r="J6" s="243">
        <v>384</v>
      </c>
      <c r="K6" s="243">
        <v>398</v>
      </c>
      <c r="L6" s="39"/>
      <c r="M6" s="109">
        <f>SUM(C6:L6)</f>
        <v>2335</v>
      </c>
      <c r="N6" s="110">
        <v>5</v>
      </c>
      <c r="O6" s="110">
        <v>3</v>
      </c>
      <c r="P6" s="109">
        <v>34</v>
      </c>
      <c r="Q6" s="110">
        <v>2</v>
      </c>
      <c r="R6" s="113">
        <v>1</v>
      </c>
      <c r="S6" s="113"/>
      <c r="T6" s="113"/>
    </row>
    <row r="7" spans="1:20" s="23" customFormat="1" ht="15.75">
      <c r="A7" s="145" t="s">
        <v>1</v>
      </c>
      <c r="B7" s="153" t="s">
        <v>16</v>
      </c>
      <c r="C7" s="257">
        <v>451</v>
      </c>
      <c r="D7" s="146">
        <v>367</v>
      </c>
      <c r="E7" s="146"/>
      <c r="F7" s="257">
        <v>441</v>
      </c>
      <c r="G7" s="146">
        <v>402</v>
      </c>
      <c r="H7" s="146">
        <v>421</v>
      </c>
      <c r="I7" s="146"/>
      <c r="J7" s="146">
        <v>415</v>
      </c>
      <c r="K7" s="146"/>
      <c r="L7" s="165"/>
      <c r="M7" s="21">
        <f>SUM(C7:L7)</f>
        <v>2497</v>
      </c>
      <c r="N7" s="19">
        <v>2</v>
      </c>
      <c r="O7" s="19">
        <v>6</v>
      </c>
      <c r="P7" s="21">
        <v>-107</v>
      </c>
      <c r="Q7" s="19">
        <v>0</v>
      </c>
      <c r="R7" s="22"/>
      <c r="S7" s="22"/>
      <c r="T7" s="22">
        <v>1</v>
      </c>
    </row>
    <row r="8" spans="1:20" s="148" customFormat="1" ht="15.75">
      <c r="A8" s="100" t="s">
        <v>2</v>
      </c>
      <c r="B8" s="121" t="s">
        <v>255</v>
      </c>
      <c r="C8" s="181"/>
      <c r="D8" s="181"/>
      <c r="E8" s="181"/>
      <c r="F8" s="181"/>
      <c r="G8" s="181"/>
      <c r="H8" s="181"/>
      <c r="I8" s="181"/>
      <c r="J8" s="181"/>
      <c r="K8" s="181"/>
      <c r="L8" s="182"/>
      <c r="M8" s="175" t="s">
        <v>255</v>
      </c>
      <c r="N8" s="161"/>
      <c r="O8" s="161"/>
      <c r="P8" s="162"/>
      <c r="Q8" s="161"/>
      <c r="R8" s="163"/>
      <c r="S8" s="163"/>
      <c r="T8" s="163"/>
    </row>
    <row r="9" spans="1:20" s="114" customFormat="1" ht="15.75">
      <c r="A9" s="26" t="s">
        <v>3</v>
      </c>
      <c r="B9" s="57" t="s">
        <v>21</v>
      </c>
      <c r="C9" s="43">
        <v>397</v>
      </c>
      <c r="D9" s="43"/>
      <c r="E9" s="43"/>
      <c r="F9" s="243">
        <v>430</v>
      </c>
      <c r="G9" s="43">
        <v>409</v>
      </c>
      <c r="H9" s="243">
        <v>423</v>
      </c>
      <c r="I9" s="43">
        <v>396</v>
      </c>
      <c r="J9" s="243">
        <v>416</v>
      </c>
      <c r="K9" s="43"/>
      <c r="L9" s="39"/>
      <c r="M9" s="109">
        <f aca="true" t="shared" si="0" ref="M9:M22">SUM(C9:L9)</f>
        <v>2471</v>
      </c>
      <c r="N9" s="110">
        <v>3</v>
      </c>
      <c r="O9" s="110">
        <v>5</v>
      </c>
      <c r="P9" s="109">
        <v>-2</v>
      </c>
      <c r="Q9" s="110">
        <v>0</v>
      </c>
      <c r="R9" s="113"/>
      <c r="S9" s="113"/>
      <c r="T9" s="113">
        <v>1</v>
      </c>
    </row>
    <row r="10" spans="1:20" s="23" customFormat="1" ht="15.75">
      <c r="A10" s="145" t="s">
        <v>4</v>
      </c>
      <c r="B10" s="153" t="s">
        <v>26</v>
      </c>
      <c r="C10" s="257">
        <v>421</v>
      </c>
      <c r="D10" s="146"/>
      <c r="E10" s="146"/>
      <c r="F10" s="257">
        <v>417</v>
      </c>
      <c r="G10" s="146">
        <v>406</v>
      </c>
      <c r="H10" s="146">
        <v>412</v>
      </c>
      <c r="I10" s="146"/>
      <c r="J10" s="146">
        <v>416</v>
      </c>
      <c r="K10" s="146">
        <v>385</v>
      </c>
      <c r="L10" s="165"/>
      <c r="M10" s="21">
        <f t="shared" si="0"/>
        <v>2457</v>
      </c>
      <c r="N10" s="19">
        <v>2</v>
      </c>
      <c r="O10" s="19">
        <v>6</v>
      </c>
      <c r="P10" s="21">
        <v>-55</v>
      </c>
      <c r="Q10" s="19">
        <v>0</v>
      </c>
      <c r="R10" s="22"/>
      <c r="S10" s="22"/>
      <c r="T10" s="22">
        <v>1</v>
      </c>
    </row>
    <row r="11" spans="1:20" s="114" customFormat="1" ht="15.75">
      <c r="A11" s="26" t="s">
        <v>5</v>
      </c>
      <c r="B11" s="57" t="s">
        <v>208</v>
      </c>
      <c r="C11" s="43">
        <v>409</v>
      </c>
      <c r="D11" s="43">
        <v>173</v>
      </c>
      <c r="E11" s="43"/>
      <c r="F11" s="43"/>
      <c r="G11" s="43">
        <v>406</v>
      </c>
      <c r="H11" s="243">
        <v>433</v>
      </c>
      <c r="I11" s="43"/>
      <c r="J11" s="243">
        <v>417</v>
      </c>
      <c r="K11" s="243">
        <v>442</v>
      </c>
      <c r="L11" s="39">
        <v>166</v>
      </c>
      <c r="M11" s="109">
        <f t="shared" si="0"/>
        <v>2446</v>
      </c>
      <c r="N11" s="110">
        <v>3</v>
      </c>
      <c r="O11" s="110">
        <v>5</v>
      </c>
      <c r="P11" s="109">
        <v>-26</v>
      </c>
      <c r="Q11" s="110">
        <v>0</v>
      </c>
      <c r="R11" s="113"/>
      <c r="S11" s="113"/>
      <c r="T11" s="113">
        <v>1</v>
      </c>
    </row>
    <row r="12" spans="1:20" s="104" customFormat="1" ht="15.75">
      <c r="A12" s="19" t="s">
        <v>6</v>
      </c>
      <c r="B12" s="137" t="s">
        <v>206</v>
      </c>
      <c r="C12" s="244">
        <v>437</v>
      </c>
      <c r="D12" s="42"/>
      <c r="E12" s="42"/>
      <c r="F12" s="42">
        <v>400</v>
      </c>
      <c r="G12" s="244">
        <v>411</v>
      </c>
      <c r="H12" s="42">
        <v>385</v>
      </c>
      <c r="I12" s="42">
        <v>372</v>
      </c>
      <c r="J12" s="42">
        <v>405</v>
      </c>
      <c r="K12" s="42"/>
      <c r="L12" s="35"/>
      <c r="M12" s="154">
        <f t="shared" si="0"/>
        <v>2410</v>
      </c>
      <c r="N12" s="100">
        <v>2</v>
      </c>
      <c r="O12" s="100">
        <v>6</v>
      </c>
      <c r="P12" s="154">
        <v>-181</v>
      </c>
      <c r="Q12" s="100">
        <v>0</v>
      </c>
      <c r="R12" s="103"/>
      <c r="S12" s="103"/>
      <c r="T12" s="103">
        <v>1</v>
      </c>
    </row>
    <row r="13" spans="1:20" s="114" customFormat="1" ht="15.75">
      <c r="A13" s="26" t="s">
        <v>7</v>
      </c>
      <c r="B13" s="57" t="s">
        <v>20</v>
      </c>
      <c r="C13" s="43">
        <v>397</v>
      </c>
      <c r="D13" s="43"/>
      <c r="E13" s="43"/>
      <c r="F13" s="243">
        <v>448</v>
      </c>
      <c r="G13" s="43">
        <v>378</v>
      </c>
      <c r="H13" s="43">
        <v>406</v>
      </c>
      <c r="I13" s="43"/>
      <c r="J13" s="243">
        <v>416</v>
      </c>
      <c r="K13" s="43"/>
      <c r="L13" s="39">
        <v>374</v>
      </c>
      <c r="M13" s="109">
        <f t="shared" si="0"/>
        <v>2419</v>
      </c>
      <c r="N13" s="110">
        <v>2</v>
      </c>
      <c r="O13" s="110">
        <v>6</v>
      </c>
      <c r="P13" s="109">
        <v>-87</v>
      </c>
      <c r="Q13" s="110">
        <v>0</v>
      </c>
      <c r="R13" s="113"/>
      <c r="S13" s="113"/>
      <c r="T13" s="113">
        <v>1</v>
      </c>
    </row>
    <row r="14" spans="1:20" s="148" customFormat="1" ht="15.75">
      <c r="A14" s="100" t="s">
        <v>8</v>
      </c>
      <c r="B14" s="121" t="s">
        <v>22</v>
      </c>
      <c r="C14" s="258">
        <v>426</v>
      </c>
      <c r="D14" s="120"/>
      <c r="E14" s="120"/>
      <c r="F14" s="258">
        <v>418</v>
      </c>
      <c r="G14" s="258">
        <v>454</v>
      </c>
      <c r="H14" s="258">
        <v>457</v>
      </c>
      <c r="I14" s="120">
        <v>407</v>
      </c>
      <c r="J14" s="258">
        <v>434</v>
      </c>
      <c r="K14" s="120"/>
      <c r="L14" s="157"/>
      <c r="M14" s="175">
        <f t="shared" si="0"/>
        <v>2596</v>
      </c>
      <c r="N14" s="145">
        <v>7</v>
      </c>
      <c r="O14" s="145">
        <v>1</v>
      </c>
      <c r="P14" s="175">
        <v>205</v>
      </c>
      <c r="Q14" s="145">
        <v>2</v>
      </c>
      <c r="R14" s="176">
        <v>1</v>
      </c>
      <c r="S14" s="176"/>
      <c r="T14" s="176"/>
    </row>
    <row r="15" spans="1:20" s="114" customFormat="1" ht="15.75">
      <c r="A15" s="26" t="s">
        <v>9</v>
      </c>
      <c r="B15" s="57" t="s">
        <v>196</v>
      </c>
      <c r="C15" s="243">
        <v>432</v>
      </c>
      <c r="D15" s="43"/>
      <c r="E15" s="43"/>
      <c r="F15" s="243">
        <v>441</v>
      </c>
      <c r="G15" s="43">
        <v>409</v>
      </c>
      <c r="H15" s="243">
        <v>422</v>
      </c>
      <c r="I15" s="43">
        <v>417</v>
      </c>
      <c r="J15" s="43">
        <v>402</v>
      </c>
      <c r="K15" s="43"/>
      <c r="L15" s="39"/>
      <c r="M15" s="109">
        <f t="shared" si="0"/>
        <v>2523</v>
      </c>
      <c r="N15" s="110">
        <v>5</v>
      </c>
      <c r="O15" s="110">
        <v>3</v>
      </c>
      <c r="P15" s="109">
        <v>94</v>
      </c>
      <c r="Q15" s="110">
        <v>2</v>
      </c>
      <c r="R15" s="113">
        <v>1</v>
      </c>
      <c r="S15" s="113"/>
      <c r="T15" s="113"/>
    </row>
    <row r="16" spans="1:20" s="23" customFormat="1" ht="15.75">
      <c r="A16" s="145" t="s">
        <v>10</v>
      </c>
      <c r="B16" s="153" t="s">
        <v>19</v>
      </c>
      <c r="C16" s="146">
        <v>429</v>
      </c>
      <c r="D16" s="146"/>
      <c r="E16" s="146"/>
      <c r="F16" s="257">
        <v>440</v>
      </c>
      <c r="G16" s="257">
        <v>471</v>
      </c>
      <c r="H16" s="146">
        <v>425</v>
      </c>
      <c r="I16" s="146">
        <v>397</v>
      </c>
      <c r="J16" s="257">
        <v>437</v>
      </c>
      <c r="K16" s="146"/>
      <c r="L16" s="165"/>
      <c r="M16" s="21">
        <f t="shared" si="0"/>
        <v>2599</v>
      </c>
      <c r="N16" s="19">
        <v>3</v>
      </c>
      <c r="O16" s="19">
        <v>5</v>
      </c>
      <c r="P16" s="21">
        <v>-32</v>
      </c>
      <c r="Q16" s="19">
        <v>0</v>
      </c>
      <c r="R16" s="22"/>
      <c r="S16" s="22"/>
      <c r="T16" s="22">
        <v>1</v>
      </c>
    </row>
    <row r="17" spans="1:20" s="114" customFormat="1" ht="15.75">
      <c r="A17" s="26" t="s">
        <v>11</v>
      </c>
      <c r="B17" s="57" t="s">
        <v>24</v>
      </c>
      <c r="C17" s="243">
        <v>464</v>
      </c>
      <c r="D17" s="43"/>
      <c r="E17" s="43"/>
      <c r="F17" s="243">
        <v>447</v>
      </c>
      <c r="G17" s="243">
        <v>438</v>
      </c>
      <c r="H17" s="43">
        <v>417</v>
      </c>
      <c r="I17" s="43">
        <v>386</v>
      </c>
      <c r="J17" s="43">
        <v>411</v>
      </c>
      <c r="K17" s="43"/>
      <c r="L17" s="39"/>
      <c r="M17" s="109">
        <f t="shared" si="0"/>
        <v>2563</v>
      </c>
      <c r="N17" s="110">
        <v>5</v>
      </c>
      <c r="O17" s="110">
        <v>3</v>
      </c>
      <c r="P17" s="109">
        <f>M17-2552</f>
        <v>11</v>
      </c>
      <c r="Q17" s="110">
        <v>2</v>
      </c>
      <c r="R17" s="113">
        <v>1</v>
      </c>
      <c r="S17" s="113"/>
      <c r="T17" s="113"/>
    </row>
    <row r="18" spans="1:20" s="104" customFormat="1" ht="15.75">
      <c r="A18" s="19" t="s">
        <v>12</v>
      </c>
      <c r="B18" s="137" t="s">
        <v>17</v>
      </c>
      <c r="C18" s="244">
        <v>424</v>
      </c>
      <c r="D18" s="42"/>
      <c r="E18" s="42"/>
      <c r="F18" s="42">
        <v>388</v>
      </c>
      <c r="G18" s="244">
        <v>438</v>
      </c>
      <c r="H18" s="244">
        <v>461</v>
      </c>
      <c r="I18" s="42">
        <v>406</v>
      </c>
      <c r="J18" s="244">
        <v>421</v>
      </c>
      <c r="K18" s="42"/>
      <c r="L18" s="35"/>
      <c r="M18" s="154">
        <f t="shared" si="0"/>
        <v>2538</v>
      </c>
      <c r="N18" s="100">
        <v>6</v>
      </c>
      <c r="O18" s="100">
        <v>2</v>
      </c>
      <c r="P18" s="100">
        <v>40</v>
      </c>
      <c r="Q18" s="100">
        <v>2</v>
      </c>
      <c r="R18" s="103">
        <v>1</v>
      </c>
      <c r="S18" s="103"/>
      <c r="T18" s="103"/>
    </row>
    <row r="19" spans="1:20" s="114" customFormat="1" ht="15.75">
      <c r="A19" s="26" t="s">
        <v>13</v>
      </c>
      <c r="B19" s="57" t="s">
        <v>15</v>
      </c>
      <c r="C19" s="43">
        <v>384</v>
      </c>
      <c r="D19" s="43"/>
      <c r="E19" s="43"/>
      <c r="F19" s="43">
        <v>368</v>
      </c>
      <c r="G19" s="43">
        <v>408</v>
      </c>
      <c r="H19" s="243">
        <v>450</v>
      </c>
      <c r="I19" s="243">
        <v>431</v>
      </c>
      <c r="J19" s="243">
        <v>427</v>
      </c>
      <c r="K19" s="43"/>
      <c r="L19" s="39"/>
      <c r="M19" s="109">
        <f t="shared" si="0"/>
        <v>2468</v>
      </c>
      <c r="N19" s="110">
        <v>3</v>
      </c>
      <c r="O19" s="110">
        <v>5</v>
      </c>
      <c r="P19" s="109">
        <f>M19-2582</f>
        <v>-114</v>
      </c>
      <c r="Q19" s="110">
        <v>0</v>
      </c>
      <c r="R19" s="113"/>
      <c r="S19" s="113"/>
      <c r="T19" s="113">
        <v>1</v>
      </c>
    </row>
    <row r="20" spans="1:20" s="104" customFormat="1" ht="15.75">
      <c r="A20" s="19" t="s">
        <v>14</v>
      </c>
      <c r="B20" s="137" t="s">
        <v>263</v>
      </c>
      <c r="C20" s="244">
        <v>449</v>
      </c>
      <c r="D20" s="42"/>
      <c r="E20" s="42"/>
      <c r="F20" s="244">
        <v>421</v>
      </c>
      <c r="G20" s="244">
        <v>412</v>
      </c>
      <c r="H20" s="42">
        <v>410</v>
      </c>
      <c r="I20" s="42"/>
      <c r="J20" s="244">
        <v>434</v>
      </c>
      <c r="K20" s="42">
        <v>370</v>
      </c>
      <c r="L20" s="35"/>
      <c r="M20" s="154">
        <f t="shared" si="0"/>
        <v>2496</v>
      </c>
      <c r="N20" s="100">
        <v>6</v>
      </c>
      <c r="O20" s="100">
        <v>2</v>
      </c>
      <c r="P20" s="154">
        <v>50</v>
      </c>
      <c r="Q20" s="100">
        <v>2</v>
      </c>
      <c r="R20" s="103">
        <v>1</v>
      </c>
      <c r="S20" s="103"/>
      <c r="T20" s="103"/>
    </row>
    <row r="21" spans="1:20" s="114" customFormat="1" ht="15.75">
      <c r="A21" s="26" t="s">
        <v>261</v>
      </c>
      <c r="B21" s="57" t="s">
        <v>23</v>
      </c>
      <c r="C21" s="243">
        <v>452</v>
      </c>
      <c r="D21" s="43"/>
      <c r="E21" s="43"/>
      <c r="F21" s="43">
        <v>380</v>
      </c>
      <c r="G21" s="43">
        <v>426</v>
      </c>
      <c r="H21" s="43">
        <v>432</v>
      </c>
      <c r="I21" s="43">
        <v>410</v>
      </c>
      <c r="J21" s="243">
        <v>469</v>
      </c>
      <c r="K21" s="43"/>
      <c r="L21" s="39"/>
      <c r="M21" s="109">
        <f t="shared" si="0"/>
        <v>2569</v>
      </c>
      <c r="N21" s="110">
        <v>2</v>
      </c>
      <c r="O21" s="110">
        <v>6</v>
      </c>
      <c r="P21" s="109">
        <v>-63</v>
      </c>
      <c r="Q21" s="110">
        <v>0</v>
      </c>
      <c r="R21" s="113"/>
      <c r="S21" s="113"/>
      <c r="T21" s="113">
        <v>1</v>
      </c>
    </row>
    <row r="22" spans="1:20" s="23" customFormat="1" ht="16.5" thickBot="1">
      <c r="A22" s="145" t="s">
        <v>262</v>
      </c>
      <c r="B22" s="153" t="s">
        <v>260</v>
      </c>
      <c r="C22" s="284">
        <v>440</v>
      </c>
      <c r="D22" s="170"/>
      <c r="E22" s="170">
        <v>367</v>
      </c>
      <c r="F22" s="170"/>
      <c r="G22" s="170">
        <v>396</v>
      </c>
      <c r="H22" s="284">
        <v>448</v>
      </c>
      <c r="I22" s="170"/>
      <c r="J22" s="170">
        <v>425</v>
      </c>
      <c r="K22" s="170"/>
      <c r="L22" s="171">
        <v>322</v>
      </c>
      <c r="M22" s="24">
        <f t="shared" si="0"/>
        <v>2398</v>
      </c>
      <c r="N22" s="25">
        <v>2</v>
      </c>
      <c r="O22" s="25">
        <v>6</v>
      </c>
      <c r="P22" s="24">
        <v>-251</v>
      </c>
      <c r="Q22" s="25">
        <v>0</v>
      </c>
      <c r="R22" s="76"/>
      <c r="S22" s="76"/>
      <c r="T22" s="76">
        <v>1</v>
      </c>
    </row>
    <row r="23" spans="3:20" ht="16.5" thickTop="1">
      <c r="C23" s="6">
        <f aca="true" t="shared" si="1" ref="C23:K23">SUM(C6:C22)</f>
        <v>6791</v>
      </c>
      <c r="D23" s="6">
        <f>SUM(D6:D10)+SUM(D12:D22)</f>
        <v>367</v>
      </c>
      <c r="E23" s="6">
        <f>SUM(E6:E10)+SUM(E12:E22)</f>
        <v>367</v>
      </c>
      <c r="F23" s="6">
        <f t="shared" si="1"/>
        <v>5865</v>
      </c>
      <c r="G23" s="6">
        <f t="shared" si="1"/>
        <v>6637</v>
      </c>
      <c r="H23" s="6">
        <f t="shared" si="1"/>
        <v>6777</v>
      </c>
      <c r="I23" s="6">
        <f t="shared" si="1"/>
        <v>3622</v>
      </c>
      <c r="J23" s="6">
        <f t="shared" si="1"/>
        <v>6729</v>
      </c>
      <c r="K23" s="6">
        <f t="shared" si="1"/>
        <v>1595</v>
      </c>
      <c r="L23" s="6">
        <f>SUM(L6:L10)+SUM(L12:L22)</f>
        <v>696</v>
      </c>
      <c r="R23" s="2">
        <f>SUM(R6:R22)</f>
        <v>6</v>
      </c>
      <c r="S23" s="2">
        <f>SUM(S6:S22)</f>
        <v>0</v>
      </c>
      <c r="T23" s="2">
        <f>SUM(T6:T22)</f>
        <v>10</v>
      </c>
    </row>
    <row r="24" spans="2:12" ht="15.75">
      <c r="B24" s="1" t="s">
        <v>225</v>
      </c>
      <c r="C24" s="6">
        <f>COUNT(C6:C22)</f>
        <v>16</v>
      </c>
      <c r="D24" s="6">
        <f>COUNT(D6:D10)+COUNT(D12:D22)</f>
        <v>1</v>
      </c>
      <c r="E24" s="6">
        <f>COUNT(E6:E10)+COUNT(E12:E22)</f>
        <v>1</v>
      </c>
      <c r="F24" s="6">
        <f aca="true" t="shared" si="2" ref="F24:K24">COUNT(F6:F22)</f>
        <v>14</v>
      </c>
      <c r="G24" s="6">
        <f t="shared" si="2"/>
        <v>16</v>
      </c>
      <c r="H24" s="6">
        <f t="shared" si="2"/>
        <v>16</v>
      </c>
      <c r="I24" s="6">
        <f t="shared" si="2"/>
        <v>9</v>
      </c>
      <c r="J24" s="6">
        <f t="shared" si="2"/>
        <v>16</v>
      </c>
      <c r="K24" s="6">
        <f t="shared" si="2"/>
        <v>4</v>
      </c>
      <c r="L24" s="6">
        <f>COUNT(L6:L10)+COUNT(L12:L22)</f>
        <v>2</v>
      </c>
    </row>
    <row r="25" spans="2:20" ht="31.5">
      <c r="B25" s="11" t="s">
        <v>127</v>
      </c>
      <c r="C25" s="16">
        <f>AVERAGE(C6:C22)</f>
        <v>424.4375</v>
      </c>
      <c r="D25" s="16">
        <f>D23/D24</f>
        <v>367</v>
      </c>
      <c r="E25" s="16">
        <f>E23/E24</f>
        <v>367</v>
      </c>
      <c r="F25" s="16">
        <f aca="true" t="shared" si="3" ref="F25:K25">AVERAGE(F6:F22)</f>
        <v>418.92857142857144</v>
      </c>
      <c r="G25" s="16">
        <f t="shared" si="3"/>
        <v>414.8125</v>
      </c>
      <c r="H25" s="16">
        <f t="shared" si="3"/>
        <v>423.5625</v>
      </c>
      <c r="I25" s="16">
        <f t="shared" si="3"/>
        <v>402.44444444444446</v>
      </c>
      <c r="J25" s="16">
        <f t="shared" si="3"/>
        <v>420.5625</v>
      </c>
      <c r="K25" s="16">
        <f t="shared" si="3"/>
        <v>398.75</v>
      </c>
      <c r="L25" s="16">
        <f>L23/L24</f>
        <v>348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39785</v>
      </c>
      <c r="N26" s="1">
        <f>SUM(N6:N22)</f>
        <v>58</v>
      </c>
      <c r="O26" s="1">
        <f>SUM(O6:O22)</f>
        <v>70</v>
      </c>
      <c r="P26" s="1">
        <f>SUM(P6:P22)</f>
        <v>-484</v>
      </c>
      <c r="Q26" s="1">
        <f>SUM(Q6:Q22)</f>
        <v>12</v>
      </c>
      <c r="S26" s="2">
        <f>N26-O26</f>
        <v>-12</v>
      </c>
      <c r="T26" s="2">
        <f>SUM(R23:T23)</f>
        <v>16</v>
      </c>
    </row>
    <row r="27" ht="15.75">
      <c r="I27" s="9"/>
    </row>
    <row r="28" spans="3:11" ht="15.75">
      <c r="C28" s="377" t="s">
        <v>39</v>
      </c>
      <c r="D28" s="377"/>
      <c r="E28" s="55"/>
      <c r="G28" s="375" t="s">
        <v>132</v>
      </c>
      <c r="H28" s="375"/>
      <c r="J28" s="376" t="s">
        <v>133</v>
      </c>
      <c r="K28" s="376"/>
    </row>
    <row r="29" spans="1:20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226"/>
      <c r="S29" s="226"/>
      <c r="T29" s="226"/>
    </row>
    <row r="31" spans="2:20" ht="45.75" customHeight="1" thickBot="1">
      <c r="B31" s="3" t="s">
        <v>25</v>
      </c>
      <c r="C31" s="8" t="s">
        <v>89</v>
      </c>
      <c r="D31" s="8" t="s">
        <v>76</v>
      </c>
      <c r="E31" s="8" t="s">
        <v>307</v>
      </c>
      <c r="F31" s="8" t="s">
        <v>77</v>
      </c>
      <c r="G31" s="8" t="s">
        <v>78</v>
      </c>
      <c r="H31" s="8" t="s">
        <v>79</v>
      </c>
      <c r="I31" s="8" t="s">
        <v>124</v>
      </c>
      <c r="J31" s="8" t="s">
        <v>80</v>
      </c>
      <c r="K31" s="8" t="s">
        <v>99</v>
      </c>
      <c r="L31" s="8" t="s">
        <v>197</v>
      </c>
      <c r="M31" s="3" t="s">
        <v>30</v>
      </c>
      <c r="N31" s="71" t="s">
        <v>205</v>
      </c>
      <c r="O31" s="3" t="s">
        <v>29</v>
      </c>
      <c r="P31" s="3" t="s">
        <v>31</v>
      </c>
      <c r="Q31" s="10" t="s">
        <v>114</v>
      </c>
      <c r="R31" s="2" t="s">
        <v>184</v>
      </c>
      <c r="S31" s="2" t="s">
        <v>185</v>
      </c>
      <c r="T31" s="2" t="s">
        <v>186</v>
      </c>
    </row>
    <row r="32" spans="1:18" s="114" customFormat="1" ht="15.75">
      <c r="A32" s="26" t="s">
        <v>153</v>
      </c>
      <c r="B32" s="57" t="s">
        <v>22</v>
      </c>
      <c r="C32" s="243">
        <v>429</v>
      </c>
      <c r="D32" s="43"/>
      <c r="E32" s="43">
        <v>376</v>
      </c>
      <c r="G32" s="43">
        <v>378</v>
      </c>
      <c r="H32" s="243">
        <v>443</v>
      </c>
      <c r="I32" s="243">
        <v>407</v>
      </c>
      <c r="J32" s="43">
        <v>389</v>
      </c>
      <c r="K32" s="111"/>
      <c r="L32" s="111"/>
      <c r="M32" s="112">
        <f>SUM(C32:L32)</f>
        <v>2422</v>
      </c>
      <c r="N32" s="110">
        <v>5</v>
      </c>
      <c r="O32" s="110">
        <v>3</v>
      </c>
      <c r="P32" s="110">
        <v>10</v>
      </c>
      <c r="Q32" s="110">
        <v>2</v>
      </c>
      <c r="R32" s="114">
        <v>1</v>
      </c>
    </row>
    <row r="33" spans="1:18" s="23" customFormat="1" ht="15.75">
      <c r="A33" s="145" t="s">
        <v>154</v>
      </c>
      <c r="B33" s="153" t="s">
        <v>196</v>
      </c>
      <c r="C33" s="252">
        <v>423</v>
      </c>
      <c r="D33" s="33"/>
      <c r="E33" s="33">
        <v>402</v>
      </c>
      <c r="F33" s="33"/>
      <c r="G33" s="252">
        <v>412</v>
      </c>
      <c r="H33" s="33">
        <v>403</v>
      </c>
      <c r="I33" s="252">
        <v>433</v>
      </c>
      <c r="J33" s="252">
        <v>406</v>
      </c>
      <c r="K33" s="33"/>
      <c r="L33" s="33"/>
      <c r="M33" s="69">
        <f aca="true" t="shared" si="4" ref="M33:M48">SUM(C33:L33)</f>
        <v>2479</v>
      </c>
      <c r="N33" s="19">
        <v>6</v>
      </c>
      <c r="O33" s="19">
        <v>2</v>
      </c>
      <c r="P33" s="19">
        <v>83</v>
      </c>
      <c r="Q33" s="19">
        <v>2</v>
      </c>
      <c r="R33" s="23">
        <v>1</v>
      </c>
    </row>
    <row r="34" spans="1:20" s="123" customFormat="1" ht="15.75">
      <c r="A34" s="26" t="s">
        <v>155</v>
      </c>
      <c r="B34" s="57" t="s">
        <v>19</v>
      </c>
      <c r="C34" s="43">
        <v>407</v>
      </c>
      <c r="D34" s="43"/>
      <c r="E34" s="43"/>
      <c r="F34" s="243">
        <v>469</v>
      </c>
      <c r="G34" s="243">
        <v>425</v>
      </c>
      <c r="H34" s="43">
        <v>386</v>
      </c>
      <c r="I34" s="43">
        <v>395</v>
      </c>
      <c r="J34" s="43">
        <v>407</v>
      </c>
      <c r="K34" s="43"/>
      <c r="L34" s="43"/>
      <c r="M34" s="112">
        <f t="shared" si="4"/>
        <v>2489</v>
      </c>
      <c r="N34" s="123">
        <v>2</v>
      </c>
      <c r="O34" s="123">
        <v>6</v>
      </c>
      <c r="P34" s="123">
        <v>-129</v>
      </c>
      <c r="Q34" s="123">
        <v>0</v>
      </c>
      <c r="T34" s="123">
        <v>1</v>
      </c>
    </row>
    <row r="35" spans="1:20" s="104" customFormat="1" ht="15.75">
      <c r="A35" s="19" t="s">
        <v>156</v>
      </c>
      <c r="B35" s="137" t="s">
        <v>24</v>
      </c>
      <c r="C35" s="323">
        <v>472</v>
      </c>
      <c r="D35" s="101"/>
      <c r="E35" s="101">
        <v>367</v>
      </c>
      <c r="F35" s="323">
        <v>444</v>
      </c>
      <c r="G35" s="101">
        <v>391</v>
      </c>
      <c r="H35" s="101">
        <v>418</v>
      </c>
      <c r="I35" s="101"/>
      <c r="J35" s="101">
        <v>417</v>
      </c>
      <c r="K35" s="101"/>
      <c r="L35" s="101"/>
      <c r="M35" s="102">
        <f t="shared" si="4"/>
        <v>2509</v>
      </c>
      <c r="N35" s="100">
        <v>2</v>
      </c>
      <c r="O35" s="100">
        <v>6</v>
      </c>
      <c r="P35" s="100">
        <v>-21</v>
      </c>
      <c r="Q35" s="100">
        <v>0</v>
      </c>
      <c r="T35" s="104">
        <v>1</v>
      </c>
    </row>
    <row r="36" spans="1:18" s="114" customFormat="1" ht="15.75">
      <c r="A36" s="26" t="s">
        <v>157</v>
      </c>
      <c r="B36" s="57" t="s">
        <v>17</v>
      </c>
      <c r="C36" s="256">
        <v>423</v>
      </c>
      <c r="D36" s="111"/>
      <c r="E36" s="111"/>
      <c r="F36" s="256">
        <v>446</v>
      </c>
      <c r="G36" s="111">
        <v>409</v>
      </c>
      <c r="H36" s="256">
        <v>437</v>
      </c>
      <c r="I36" s="111">
        <v>391</v>
      </c>
      <c r="J36" s="256">
        <v>454</v>
      </c>
      <c r="K36" s="111"/>
      <c r="L36" s="111"/>
      <c r="M36" s="112">
        <f t="shared" si="4"/>
        <v>2560</v>
      </c>
      <c r="N36" s="110">
        <v>6</v>
      </c>
      <c r="O36" s="110">
        <v>2</v>
      </c>
      <c r="P36" s="110">
        <f>M36-2455</f>
        <v>105</v>
      </c>
      <c r="Q36" s="110">
        <v>2</v>
      </c>
      <c r="R36" s="114">
        <v>1</v>
      </c>
    </row>
    <row r="37" spans="1:19" s="148" customFormat="1" ht="15.75">
      <c r="A37" s="100" t="s">
        <v>158</v>
      </c>
      <c r="B37" s="121" t="s">
        <v>15</v>
      </c>
      <c r="C37" s="282">
        <v>448</v>
      </c>
      <c r="D37" s="289"/>
      <c r="E37" s="289"/>
      <c r="F37" s="282">
        <v>444</v>
      </c>
      <c r="G37" s="289">
        <v>417</v>
      </c>
      <c r="H37" s="289">
        <v>394</v>
      </c>
      <c r="I37" s="289">
        <v>415</v>
      </c>
      <c r="J37" s="289">
        <v>412</v>
      </c>
      <c r="K37" s="289"/>
      <c r="L37" s="289"/>
      <c r="M37" s="147">
        <f t="shared" si="4"/>
        <v>2530</v>
      </c>
      <c r="N37" s="145">
        <v>4</v>
      </c>
      <c r="O37" s="145">
        <v>4</v>
      </c>
      <c r="P37" s="145">
        <v>16</v>
      </c>
      <c r="Q37" s="145">
        <v>1</v>
      </c>
      <c r="S37" s="148">
        <v>1</v>
      </c>
    </row>
    <row r="38" spans="1:20" s="114" customFormat="1" ht="15.75">
      <c r="A38" s="26" t="s">
        <v>159</v>
      </c>
      <c r="B38" s="57" t="s">
        <v>263</v>
      </c>
      <c r="C38" s="256">
        <v>423</v>
      </c>
      <c r="D38" s="111"/>
      <c r="E38" s="111"/>
      <c r="F38" s="256">
        <v>436</v>
      </c>
      <c r="G38" s="111">
        <v>378</v>
      </c>
      <c r="H38" s="111">
        <v>407</v>
      </c>
      <c r="I38" s="111"/>
      <c r="J38" s="341">
        <v>409</v>
      </c>
      <c r="K38" s="256">
        <v>416</v>
      </c>
      <c r="L38" s="111"/>
      <c r="M38" s="112">
        <f t="shared" si="4"/>
        <v>2469</v>
      </c>
      <c r="N38" s="110">
        <v>3</v>
      </c>
      <c r="O38" s="110">
        <v>5</v>
      </c>
      <c r="P38" s="110">
        <f>M38-2500</f>
        <v>-31</v>
      </c>
      <c r="Q38" s="110">
        <v>0</v>
      </c>
      <c r="T38" s="114">
        <v>1</v>
      </c>
    </row>
    <row r="39" spans="1:18" s="23" customFormat="1" ht="15.75">
      <c r="A39" s="145" t="s">
        <v>160</v>
      </c>
      <c r="B39" s="153" t="s">
        <v>23</v>
      </c>
      <c r="C39" s="252">
        <v>431</v>
      </c>
      <c r="D39" s="33"/>
      <c r="E39" s="33">
        <v>164</v>
      </c>
      <c r="F39" s="33">
        <v>422</v>
      </c>
      <c r="G39" s="252">
        <v>432</v>
      </c>
      <c r="H39" s="252">
        <v>457</v>
      </c>
      <c r="I39" s="33"/>
      <c r="J39" s="252">
        <v>423</v>
      </c>
      <c r="K39" s="33">
        <v>208</v>
      </c>
      <c r="L39" s="33"/>
      <c r="M39" s="69">
        <f t="shared" si="4"/>
        <v>2537</v>
      </c>
      <c r="N39" s="19">
        <v>6</v>
      </c>
      <c r="O39" s="19">
        <v>2</v>
      </c>
      <c r="P39" s="19">
        <v>28</v>
      </c>
      <c r="Q39" s="19">
        <v>2</v>
      </c>
      <c r="R39" s="23">
        <v>1</v>
      </c>
    </row>
    <row r="40" spans="1:20" s="114" customFormat="1" ht="15.75">
      <c r="A40" s="26" t="s">
        <v>161</v>
      </c>
      <c r="B40" s="57" t="s">
        <v>260</v>
      </c>
      <c r="C40" s="342">
        <v>428</v>
      </c>
      <c r="D40" s="341"/>
      <c r="E40" s="341"/>
      <c r="F40" s="342">
        <v>431</v>
      </c>
      <c r="G40" s="341">
        <v>412</v>
      </c>
      <c r="H40" s="342">
        <v>439</v>
      </c>
      <c r="I40" s="341">
        <v>402</v>
      </c>
      <c r="J40" s="341">
        <v>386</v>
      </c>
      <c r="K40" s="341"/>
      <c r="L40" s="341"/>
      <c r="M40" s="112">
        <f t="shared" si="4"/>
        <v>2498</v>
      </c>
      <c r="N40" s="110">
        <v>3</v>
      </c>
      <c r="O40" s="110">
        <v>5</v>
      </c>
      <c r="P40" s="110">
        <v>-11</v>
      </c>
      <c r="Q40" s="110">
        <v>0</v>
      </c>
      <c r="T40" s="114">
        <v>1</v>
      </c>
    </row>
    <row r="41" spans="1:18" s="104" customFormat="1" ht="15.75">
      <c r="A41" s="19" t="s">
        <v>162</v>
      </c>
      <c r="B41" s="137" t="s">
        <v>209</v>
      </c>
      <c r="C41" s="323">
        <v>439</v>
      </c>
      <c r="D41" s="101"/>
      <c r="E41" s="101"/>
      <c r="F41" s="323">
        <v>442</v>
      </c>
      <c r="G41" s="323">
        <v>451</v>
      </c>
      <c r="H41" s="323">
        <v>453</v>
      </c>
      <c r="I41" s="101"/>
      <c r="J41" s="323">
        <v>430</v>
      </c>
      <c r="K41" s="101">
        <v>368</v>
      </c>
      <c r="L41" s="101"/>
      <c r="M41" s="102">
        <f t="shared" si="4"/>
        <v>2583</v>
      </c>
      <c r="N41" s="100">
        <v>7</v>
      </c>
      <c r="O41" s="100">
        <v>1</v>
      </c>
      <c r="P41" s="100">
        <v>145</v>
      </c>
      <c r="Q41" s="100">
        <v>2</v>
      </c>
      <c r="R41" s="104">
        <v>1</v>
      </c>
    </row>
    <row r="42" spans="1:20" s="114" customFormat="1" ht="15.75">
      <c r="A42" s="26" t="s">
        <v>163</v>
      </c>
      <c r="B42" s="57" t="s">
        <v>16</v>
      </c>
      <c r="C42" s="111">
        <v>408</v>
      </c>
      <c r="D42" s="111"/>
      <c r="E42" s="111"/>
      <c r="F42" s="256">
        <v>463</v>
      </c>
      <c r="G42" s="111">
        <v>382</v>
      </c>
      <c r="H42" s="111">
        <v>410</v>
      </c>
      <c r="I42" s="111">
        <v>394</v>
      </c>
      <c r="J42" s="111">
        <v>427</v>
      </c>
      <c r="K42" s="111"/>
      <c r="L42" s="111"/>
      <c r="M42" s="112">
        <f t="shared" si="4"/>
        <v>2484</v>
      </c>
      <c r="N42" s="110">
        <v>1</v>
      </c>
      <c r="O42" s="110">
        <v>7</v>
      </c>
      <c r="P42" s="110">
        <v>-160</v>
      </c>
      <c r="Q42" s="110">
        <v>0</v>
      </c>
      <c r="T42" s="114">
        <v>1</v>
      </c>
    </row>
    <row r="43" spans="1:17" s="299" customFormat="1" ht="15.75">
      <c r="A43" s="293" t="s">
        <v>164</v>
      </c>
      <c r="B43" s="294" t="s">
        <v>255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7">
        <f t="shared" si="4"/>
        <v>0</v>
      </c>
      <c r="N43" s="293"/>
      <c r="O43" s="293"/>
      <c r="P43" s="293"/>
      <c r="Q43" s="293"/>
    </row>
    <row r="44" spans="1:20" s="104" customFormat="1" ht="15.75">
      <c r="A44" s="19" t="s">
        <v>165</v>
      </c>
      <c r="B44" s="137" t="s">
        <v>21</v>
      </c>
      <c r="C44" s="323">
        <v>441</v>
      </c>
      <c r="D44" s="101"/>
      <c r="E44" s="101"/>
      <c r="F44" s="101">
        <v>417</v>
      </c>
      <c r="G44" s="101">
        <v>414</v>
      </c>
      <c r="H44" s="101">
        <v>392</v>
      </c>
      <c r="I44" s="101">
        <v>385</v>
      </c>
      <c r="J44" s="323">
        <v>449</v>
      </c>
      <c r="K44" s="101"/>
      <c r="L44" s="101"/>
      <c r="M44" s="102">
        <f t="shared" si="4"/>
        <v>2498</v>
      </c>
      <c r="N44" s="100">
        <v>2</v>
      </c>
      <c r="O44" s="100">
        <v>6</v>
      </c>
      <c r="P44" s="100">
        <v>-11</v>
      </c>
      <c r="Q44" s="100">
        <v>0</v>
      </c>
      <c r="T44" s="104">
        <v>1</v>
      </c>
    </row>
    <row r="45" spans="1:20" s="114" customFormat="1" ht="15.75">
      <c r="A45" s="26" t="s">
        <v>265</v>
      </c>
      <c r="B45" s="57" t="s">
        <v>26</v>
      </c>
      <c r="C45" s="256">
        <v>437</v>
      </c>
      <c r="D45" s="111"/>
      <c r="E45" s="111"/>
      <c r="F45" s="256">
        <v>470</v>
      </c>
      <c r="G45" s="111">
        <v>399</v>
      </c>
      <c r="H45" s="111">
        <v>412</v>
      </c>
      <c r="I45" s="111">
        <v>418</v>
      </c>
      <c r="J45" s="111">
        <v>411</v>
      </c>
      <c r="K45" s="111"/>
      <c r="L45" s="111"/>
      <c r="M45" s="112">
        <f t="shared" si="4"/>
        <v>2547</v>
      </c>
      <c r="N45" s="110">
        <v>2</v>
      </c>
      <c r="O45" s="110">
        <v>6</v>
      </c>
      <c r="P45" s="110">
        <v>-61</v>
      </c>
      <c r="Q45" s="110">
        <v>0</v>
      </c>
      <c r="T45" s="114">
        <v>1</v>
      </c>
    </row>
    <row r="46" spans="1:18" s="148" customFormat="1" ht="15.75">
      <c r="A46" s="100" t="s">
        <v>266</v>
      </c>
      <c r="B46" s="121" t="s">
        <v>208</v>
      </c>
      <c r="C46" s="289">
        <v>397</v>
      </c>
      <c r="D46" s="289"/>
      <c r="E46" s="289"/>
      <c r="F46" s="282">
        <v>445</v>
      </c>
      <c r="G46" s="282">
        <v>430</v>
      </c>
      <c r="H46" s="282">
        <v>458</v>
      </c>
      <c r="I46" s="289">
        <v>408</v>
      </c>
      <c r="J46" s="289">
        <v>400</v>
      </c>
      <c r="K46" s="289"/>
      <c r="L46" s="289"/>
      <c r="M46" s="147">
        <f t="shared" si="4"/>
        <v>2538</v>
      </c>
      <c r="N46" s="145">
        <v>5</v>
      </c>
      <c r="O46" s="145">
        <v>3</v>
      </c>
      <c r="P46" s="145">
        <v>19</v>
      </c>
      <c r="Q46" s="145">
        <v>2</v>
      </c>
      <c r="R46" s="148">
        <v>1</v>
      </c>
    </row>
    <row r="47" spans="1:18" s="114" customFormat="1" ht="15.75">
      <c r="A47" s="26" t="s">
        <v>303</v>
      </c>
      <c r="B47" s="57" t="s">
        <v>206</v>
      </c>
      <c r="C47" s="346">
        <v>414</v>
      </c>
      <c r="D47" s="111"/>
      <c r="E47" s="111"/>
      <c r="F47" s="346">
        <v>432</v>
      </c>
      <c r="G47" s="346">
        <v>438</v>
      </c>
      <c r="H47" s="111">
        <v>376</v>
      </c>
      <c r="I47" s="346">
        <v>408</v>
      </c>
      <c r="J47" s="346">
        <v>464</v>
      </c>
      <c r="K47" s="111"/>
      <c r="L47" s="111"/>
      <c r="M47" s="112">
        <f t="shared" si="4"/>
        <v>2532</v>
      </c>
      <c r="N47" s="110">
        <v>7</v>
      </c>
      <c r="O47" s="110">
        <v>1</v>
      </c>
      <c r="P47" s="110">
        <v>188</v>
      </c>
      <c r="Q47" s="110">
        <v>2</v>
      </c>
      <c r="R47" s="114">
        <v>1</v>
      </c>
    </row>
    <row r="48" spans="1:20" s="23" customFormat="1" ht="16.5" thickBot="1">
      <c r="A48" s="145" t="s">
        <v>304</v>
      </c>
      <c r="B48" s="153" t="s">
        <v>20</v>
      </c>
      <c r="C48" s="235">
        <v>408</v>
      </c>
      <c r="D48" s="235"/>
      <c r="E48" s="235">
        <v>384</v>
      </c>
      <c r="F48" s="235"/>
      <c r="G48" s="362">
        <v>416</v>
      </c>
      <c r="H48" s="362">
        <v>458</v>
      </c>
      <c r="I48" s="235"/>
      <c r="J48" s="235">
        <v>387</v>
      </c>
      <c r="K48" s="235"/>
      <c r="L48" s="362">
        <v>424</v>
      </c>
      <c r="M48" s="69">
        <f t="shared" si="4"/>
        <v>2477</v>
      </c>
      <c r="N48" s="25">
        <v>3</v>
      </c>
      <c r="O48" s="25">
        <v>5</v>
      </c>
      <c r="P48" s="25">
        <v>-21</v>
      </c>
      <c r="Q48" s="25">
        <v>0</v>
      </c>
      <c r="R48" s="151"/>
      <c r="S48" s="151"/>
      <c r="T48" s="151">
        <v>1</v>
      </c>
    </row>
    <row r="49" spans="3:20" ht="16.5" thickTop="1">
      <c r="C49" s="7">
        <f aca="true" t="shared" si="5" ref="C49:L49">SUM(C32:C48)</f>
        <v>6828</v>
      </c>
      <c r="D49" s="7">
        <f t="shared" si="5"/>
        <v>0</v>
      </c>
      <c r="E49" s="7">
        <f>SUM(E32:E38)+SUM(E40:E48)</f>
        <v>1529</v>
      </c>
      <c r="F49" s="7">
        <f t="shared" si="5"/>
        <v>5761</v>
      </c>
      <c r="G49" s="7">
        <f t="shared" si="5"/>
        <v>6584</v>
      </c>
      <c r="H49" s="7">
        <f t="shared" si="5"/>
        <v>6743</v>
      </c>
      <c r="I49" s="7">
        <f t="shared" si="5"/>
        <v>4456</v>
      </c>
      <c r="J49" s="7">
        <f t="shared" si="5"/>
        <v>6671</v>
      </c>
      <c r="K49" s="7">
        <f>SUM(K32:K38)+SUM(K40:K48)</f>
        <v>784</v>
      </c>
      <c r="L49" s="7">
        <f t="shared" si="5"/>
        <v>424</v>
      </c>
      <c r="N49" s="1">
        <f>SUM(N32:N48)</f>
        <v>64</v>
      </c>
      <c r="O49" s="1">
        <f>SUM(O32:O48)</f>
        <v>64</v>
      </c>
      <c r="P49" s="1">
        <f>SUM(P32:P48)</f>
        <v>149</v>
      </c>
      <c r="Q49" s="1">
        <f>SUM(Q32:Q48)</f>
        <v>15</v>
      </c>
      <c r="R49" s="1">
        <f>SUM(R32:R48)+R23</f>
        <v>13</v>
      </c>
      <c r="S49" s="1">
        <f>SUM(S32:S48)+S23</f>
        <v>1</v>
      </c>
      <c r="T49" s="1">
        <f>SUM(T32:T48)+T23</f>
        <v>18</v>
      </c>
    </row>
    <row r="50" spans="2:12" ht="31.5">
      <c r="B50" s="67" t="s">
        <v>251</v>
      </c>
      <c r="C50" s="1">
        <f>COUNT(C32:C48)</f>
        <v>16</v>
      </c>
      <c r="D50" s="1">
        <f aca="true" t="shared" si="6" ref="D50:L50">COUNT(D32:D48)</f>
        <v>0</v>
      </c>
      <c r="E50" s="1">
        <f>COUNT(E32:E38)+COUNT(E40:E48)</f>
        <v>4</v>
      </c>
      <c r="F50" s="1">
        <f t="shared" si="6"/>
        <v>13</v>
      </c>
      <c r="G50" s="1">
        <f t="shared" si="6"/>
        <v>16</v>
      </c>
      <c r="H50" s="1">
        <f t="shared" si="6"/>
        <v>16</v>
      </c>
      <c r="I50" s="1">
        <f t="shared" si="6"/>
        <v>11</v>
      </c>
      <c r="J50" s="1">
        <f t="shared" si="6"/>
        <v>16</v>
      </c>
      <c r="K50" s="1">
        <f>COUNT(K32:K38)+COUNT(K40:K48)</f>
        <v>2</v>
      </c>
      <c r="L50" s="1">
        <f t="shared" si="6"/>
        <v>1</v>
      </c>
    </row>
    <row r="51" spans="2:20" ht="31.5">
      <c r="B51" s="11" t="s">
        <v>247</v>
      </c>
      <c r="C51" s="16">
        <f>C49/C50</f>
        <v>426.75</v>
      </c>
      <c r="D51" s="16"/>
      <c r="E51" s="16">
        <f aca="true" t="shared" si="7" ref="E51:L51">E49/E50</f>
        <v>382.25</v>
      </c>
      <c r="F51" s="16">
        <f t="shared" si="7"/>
        <v>443.15384615384613</v>
      </c>
      <c r="G51" s="16">
        <f t="shared" si="7"/>
        <v>411.5</v>
      </c>
      <c r="H51" s="16">
        <f t="shared" si="7"/>
        <v>421.4375</v>
      </c>
      <c r="I51" s="16">
        <f t="shared" si="7"/>
        <v>405.09090909090907</v>
      </c>
      <c r="J51" s="16">
        <f t="shared" si="7"/>
        <v>416.9375</v>
      </c>
      <c r="K51" s="16">
        <f t="shared" si="7"/>
        <v>392</v>
      </c>
      <c r="L51" s="16">
        <f t="shared" si="7"/>
        <v>424</v>
      </c>
      <c r="M51" s="3" t="s">
        <v>30</v>
      </c>
      <c r="N51" s="371" t="s">
        <v>115</v>
      </c>
      <c r="O51" s="371"/>
      <c r="P51" s="3" t="s">
        <v>31</v>
      </c>
      <c r="Q51" s="10" t="s">
        <v>116</v>
      </c>
      <c r="S51" s="74" t="s">
        <v>126</v>
      </c>
      <c r="T51" s="74" t="s">
        <v>223</v>
      </c>
    </row>
    <row r="52" spans="13:20" ht="15.75">
      <c r="M52" s="6">
        <f>SUM(M32:M48)+M26</f>
        <v>79937</v>
      </c>
      <c r="N52" s="6">
        <f>SUM(N32:N48)+N26</f>
        <v>122</v>
      </c>
      <c r="O52" s="6">
        <f>SUM(O32:O48)+O26</f>
        <v>134</v>
      </c>
      <c r="P52" s="6">
        <f>SUM(P32:P48)+P26</f>
        <v>-335</v>
      </c>
      <c r="Q52" s="6">
        <f>SUM(Q32:Q48)+Q26</f>
        <v>27</v>
      </c>
      <c r="S52" s="2">
        <f>N52-O52</f>
        <v>-12</v>
      </c>
      <c r="T52" s="2">
        <f>SUM(R49:T49)</f>
        <v>32</v>
      </c>
    </row>
    <row r="54" spans="13:14" ht="15.75">
      <c r="M54" s="1" t="s">
        <v>128</v>
      </c>
      <c r="N54" s="18">
        <f>M52/T52</f>
        <v>2498.03125</v>
      </c>
    </row>
  </sheetData>
  <sheetProtection/>
  <mergeCells count="11">
    <mergeCell ref="G1:H1"/>
    <mergeCell ref="M2:N2"/>
    <mergeCell ref="J1:K1"/>
    <mergeCell ref="M1:N1"/>
    <mergeCell ref="N51:O51"/>
    <mergeCell ref="J28:K28"/>
    <mergeCell ref="G28:H28"/>
    <mergeCell ref="C4:L4"/>
    <mergeCell ref="N4:O4"/>
    <mergeCell ref="C28:D28"/>
    <mergeCell ref="N25:O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W54"/>
  <sheetViews>
    <sheetView zoomScale="90" zoomScaleNormal="90" zoomScalePageLayoutView="0" workbookViewId="0" topLeftCell="B28">
      <selection activeCell="Q48" sqref="Q48"/>
    </sheetView>
  </sheetViews>
  <sheetFormatPr defaultColWidth="9.00390625" defaultRowHeight="12.75"/>
  <cols>
    <col min="1" max="1" width="11.25390625" style="1" bestFit="1" customWidth="1"/>
    <col min="2" max="2" width="15.625" style="1" bestFit="1" customWidth="1"/>
    <col min="3" max="3" width="10.75390625" style="1" customWidth="1"/>
    <col min="4" max="4" width="9.375" style="1" customWidth="1"/>
    <col min="5" max="5" width="8.625" style="1" customWidth="1"/>
    <col min="6" max="6" width="10.25390625" style="1" customWidth="1"/>
    <col min="7" max="7" width="9.25390625" style="1" customWidth="1"/>
    <col min="8" max="8" width="10.75390625" style="1" customWidth="1"/>
    <col min="9" max="9" width="10.375" style="1" customWidth="1"/>
    <col min="10" max="10" width="11.375" style="1" customWidth="1"/>
    <col min="11" max="11" width="8.875" style="1" customWidth="1"/>
    <col min="12" max="12" width="9.375" style="1" customWidth="1"/>
    <col min="13" max="13" width="18.37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1.00390625" style="1" customWidth="1"/>
    <col min="18" max="18" width="9.25390625" style="0" bestFit="1" customWidth="1"/>
    <col min="19" max="19" width="12.875" style="0" customWidth="1"/>
    <col min="20" max="20" width="12.125" style="0" customWidth="1"/>
  </cols>
  <sheetData>
    <row r="1" spans="1:14" ht="15.75">
      <c r="A1" s="58" t="s">
        <v>141</v>
      </c>
      <c r="B1" s="59"/>
      <c r="C1" s="59" t="s">
        <v>279</v>
      </c>
      <c r="D1" s="59" t="s">
        <v>142</v>
      </c>
      <c r="E1" s="372" t="s">
        <v>140</v>
      </c>
      <c r="F1" s="372"/>
      <c r="H1" s="368" t="s">
        <v>151</v>
      </c>
      <c r="I1" s="368"/>
      <c r="J1" s="11" t="s">
        <v>152</v>
      </c>
      <c r="K1" s="13" t="s">
        <v>126</v>
      </c>
      <c r="M1" s="1" t="s">
        <v>128</v>
      </c>
      <c r="N1" s="18">
        <f>M26/T26</f>
        <v>2398.0625</v>
      </c>
    </row>
    <row r="2" spans="8:14" ht="15.75">
      <c r="H2" s="1">
        <f>N26+N49</f>
        <v>75</v>
      </c>
      <c r="I2" s="1">
        <f>O26+O49</f>
        <v>181</v>
      </c>
      <c r="J2" s="1">
        <f>Q26+Q49</f>
        <v>3</v>
      </c>
      <c r="K2" s="1">
        <f>H2-I2</f>
        <v>-106</v>
      </c>
      <c r="M2" s="1" t="s">
        <v>234</v>
      </c>
      <c r="N2" s="6">
        <f>M6+M8+M10+M12+M14+M16+M18+M21</f>
        <v>19227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2.25" thickBot="1">
      <c r="B5" s="3" t="s">
        <v>25</v>
      </c>
      <c r="C5" s="8" t="s">
        <v>86</v>
      </c>
      <c r="D5" s="8" t="s">
        <v>87</v>
      </c>
      <c r="E5" s="8" t="s">
        <v>88</v>
      </c>
      <c r="F5" s="8" t="s">
        <v>272</v>
      </c>
      <c r="G5" s="8" t="s">
        <v>198</v>
      </c>
      <c r="H5" s="8" t="s">
        <v>103</v>
      </c>
      <c r="I5" s="8" t="s">
        <v>102</v>
      </c>
      <c r="J5" s="8" t="s">
        <v>129</v>
      </c>
      <c r="K5" s="8" t="s">
        <v>194</v>
      </c>
      <c r="L5" s="8" t="s">
        <v>273</v>
      </c>
      <c r="M5" s="11" t="s">
        <v>30</v>
      </c>
      <c r="N5" s="11" t="s">
        <v>22</v>
      </c>
      <c r="O5" s="11" t="s">
        <v>29</v>
      </c>
      <c r="P5" s="11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57" t="s">
        <v>24</v>
      </c>
      <c r="C6" s="43">
        <v>404</v>
      </c>
      <c r="D6" s="43">
        <v>372</v>
      </c>
      <c r="E6" s="43"/>
      <c r="F6" s="243">
        <v>413</v>
      </c>
      <c r="G6" s="243">
        <v>421</v>
      </c>
      <c r="H6" s="243">
        <v>412</v>
      </c>
      <c r="I6" s="43"/>
      <c r="J6" s="43"/>
      <c r="K6" s="43">
        <v>376</v>
      </c>
      <c r="L6" s="43"/>
      <c r="M6" s="186">
        <f aca="true" t="shared" si="0" ref="M6:M22">SUM(C6:L6)</f>
        <v>2398</v>
      </c>
      <c r="N6" s="110">
        <v>3</v>
      </c>
      <c r="O6" s="110">
        <v>5</v>
      </c>
      <c r="P6" s="109">
        <f>M6-2438</f>
        <v>-40</v>
      </c>
      <c r="Q6" s="110">
        <v>0</v>
      </c>
      <c r="R6" s="113"/>
      <c r="S6" s="113"/>
      <c r="T6" s="113">
        <v>1</v>
      </c>
    </row>
    <row r="7" spans="1:20" s="104" customFormat="1" ht="15.75">
      <c r="A7" s="19" t="s">
        <v>1</v>
      </c>
      <c r="B7" s="137" t="s">
        <v>17</v>
      </c>
      <c r="C7" s="42">
        <v>392</v>
      </c>
      <c r="D7" s="42"/>
      <c r="E7" s="42">
        <v>397</v>
      </c>
      <c r="F7" s="42">
        <v>385</v>
      </c>
      <c r="G7" s="244">
        <v>434</v>
      </c>
      <c r="H7" s="42">
        <v>392</v>
      </c>
      <c r="I7" s="42"/>
      <c r="J7" s="42">
        <v>386</v>
      </c>
      <c r="K7" s="42"/>
      <c r="L7" s="42"/>
      <c r="M7" s="189">
        <f t="shared" si="0"/>
        <v>2386</v>
      </c>
      <c r="N7" s="100">
        <v>1</v>
      </c>
      <c r="O7" s="100">
        <v>7</v>
      </c>
      <c r="P7" s="100">
        <v>-194</v>
      </c>
      <c r="Q7" s="100">
        <v>0</v>
      </c>
      <c r="R7" s="103"/>
      <c r="S7" s="103"/>
      <c r="T7" s="103">
        <v>1</v>
      </c>
    </row>
    <row r="8" spans="1:20" s="114" customFormat="1" ht="15.75">
      <c r="A8" s="26" t="s">
        <v>2</v>
      </c>
      <c r="B8" s="57" t="s">
        <v>15</v>
      </c>
      <c r="C8" s="43">
        <v>389</v>
      </c>
      <c r="D8" s="43">
        <v>377</v>
      </c>
      <c r="E8" s="243">
        <v>416</v>
      </c>
      <c r="F8" s="43"/>
      <c r="G8" s="243">
        <v>415</v>
      </c>
      <c r="H8" s="243">
        <v>416</v>
      </c>
      <c r="I8" s="43"/>
      <c r="J8" s="43"/>
      <c r="K8" s="43">
        <v>396</v>
      </c>
      <c r="L8" s="43"/>
      <c r="M8" s="186">
        <f t="shared" si="0"/>
        <v>2409</v>
      </c>
      <c r="N8" s="110">
        <v>3</v>
      </c>
      <c r="O8" s="110">
        <v>5</v>
      </c>
      <c r="P8" s="110">
        <v>-44</v>
      </c>
      <c r="Q8" s="110">
        <v>0</v>
      </c>
      <c r="R8" s="113"/>
      <c r="S8" s="113"/>
      <c r="T8" s="113">
        <v>1</v>
      </c>
    </row>
    <row r="9" spans="1:20" s="23" customFormat="1" ht="15.75">
      <c r="A9" s="145" t="s">
        <v>3</v>
      </c>
      <c r="B9" s="153" t="s">
        <v>263</v>
      </c>
      <c r="C9" s="146"/>
      <c r="D9" s="146"/>
      <c r="E9" s="257">
        <v>412</v>
      </c>
      <c r="F9" s="257">
        <v>420</v>
      </c>
      <c r="G9" s="146">
        <v>396</v>
      </c>
      <c r="H9" s="146">
        <v>397</v>
      </c>
      <c r="I9" s="146"/>
      <c r="J9" s="146">
        <v>386</v>
      </c>
      <c r="K9" s="146">
        <v>352</v>
      </c>
      <c r="L9" s="146"/>
      <c r="M9" s="36">
        <f t="shared" si="0"/>
        <v>2363</v>
      </c>
      <c r="N9" s="19">
        <v>2</v>
      </c>
      <c r="O9" s="19">
        <v>6</v>
      </c>
      <c r="P9" s="21">
        <f>M9-2469</f>
        <v>-106</v>
      </c>
      <c r="Q9" s="19">
        <v>0</v>
      </c>
      <c r="R9" s="22"/>
      <c r="S9" s="22"/>
      <c r="T9" s="22">
        <v>1</v>
      </c>
    </row>
    <row r="10" spans="1:20" s="114" customFormat="1" ht="15.75">
      <c r="A10" s="26" t="s">
        <v>4</v>
      </c>
      <c r="B10" s="57" t="s">
        <v>23</v>
      </c>
      <c r="C10" s="47"/>
      <c r="D10" s="251">
        <v>419</v>
      </c>
      <c r="E10" s="43">
        <v>163</v>
      </c>
      <c r="F10" s="43">
        <v>391</v>
      </c>
      <c r="G10" s="243">
        <v>445</v>
      </c>
      <c r="H10" s="43">
        <v>394</v>
      </c>
      <c r="I10" s="47"/>
      <c r="J10" s="47">
        <v>379</v>
      </c>
      <c r="K10" s="47">
        <v>203</v>
      </c>
      <c r="L10" s="47"/>
      <c r="M10" s="186">
        <f t="shared" si="0"/>
        <v>2394</v>
      </c>
      <c r="N10" s="110">
        <v>2</v>
      </c>
      <c r="O10" s="110">
        <v>6</v>
      </c>
      <c r="P10" s="110">
        <v>-159</v>
      </c>
      <c r="Q10" s="110">
        <v>0</v>
      </c>
      <c r="R10" s="113"/>
      <c r="S10" s="113"/>
      <c r="T10" s="113">
        <v>1</v>
      </c>
    </row>
    <row r="11" spans="1:20" s="148" customFormat="1" ht="15.75">
      <c r="A11" s="100" t="s">
        <v>5</v>
      </c>
      <c r="B11" s="121" t="s">
        <v>260</v>
      </c>
      <c r="C11" s="120">
        <v>393</v>
      </c>
      <c r="D11" s="120">
        <v>399</v>
      </c>
      <c r="E11" s="120"/>
      <c r="F11" s="120">
        <v>393</v>
      </c>
      <c r="G11" s="120"/>
      <c r="H11" s="258">
        <v>451</v>
      </c>
      <c r="I11" s="120"/>
      <c r="J11" s="120">
        <v>170</v>
      </c>
      <c r="K11" s="120">
        <v>387</v>
      </c>
      <c r="L11" s="120">
        <v>228</v>
      </c>
      <c r="M11" s="190">
        <f t="shared" si="0"/>
        <v>2421</v>
      </c>
      <c r="N11" s="145">
        <v>1</v>
      </c>
      <c r="O11" s="145">
        <v>7</v>
      </c>
      <c r="P11" s="175">
        <v>-240</v>
      </c>
      <c r="Q11" s="145">
        <v>0</v>
      </c>
      <c r="R11" s="176"/>
      <c r="S11" s="176"/>
      <c r="T11" s="176">
        <v>1</v>
      </c>
    </row>
    <row r="12" spans="1:20" s="114" customFormat="1" ht="15.75">
      <c r="A12" s="26" t="s">
        <v>6</v>
      </c>
      <c r="B12" s="57" t="s">
        <v>209</v>
      </c>
      <c r="C12" s="43">
        <v>402</v>
      </c>
      <c r="D12" s="243">
        <v>408</v>
      </c>
      <c r="E12" s="43"/>
      <c r="F12" s="243">
        <v>403</v>
      </c>
      <c r="G12" s="43">
        <v>402</v>
      </c>
      <c r="H12" s="243">
        <v>410</v>
      </c>
      <c r="I12" s="43"/>
      <c r="J12" s="43"/>
      <c r="K12" s="43"/>
      <c r="L12" s="43">
        <v>350</v>
      </c>
      <c r="M12" s="186">
        <f t="shared" si="0"/>
        <v>2375</v>
      </c>
      <c r="N12" s="110">
        <v>3</v>
      </c>
      <c r="O12" s="110">
        <v>5</v>
      </c>
      <c r="P12" s="109">
        <v>-68</v>
      </c>
      <c r="Q12" s="110">
        <v>0</v>
      </c>
      <c r="R12" s="113"/>
      <c r="S12" s="113"/>
      <c r="T12" s="113">
        <v>1</v>
      </c>
    </row>
    <row r="13" spans="1:20" s="104" customFormat="1" ht="15.75">
      <c r="A13" s="19" t="s">
        <v>7</v>
      </c>
      <c r="B13" s="137" t="s">
        <v>16</v>
      </c>
      <c r="C13" s="42">
        <v>405</v>
      </c>
      <c r="D13" s="42">
        <v>366</v>
      </c>
      <c r="E13" s="42"/>
      <c r="F13" s="42">
        <v>382</v>
      </c>
      <c r="G13" s="244">
        <v>434</v>
      </c>
      <c r="H13" s="42">
        <v>341</v>
      </c>
      <c r="I13" s="42"/>
      <c r="J13" s="42"/>
      <c r="K13" s="42">
        <v>365</v>
      </c>
      <c r="L13" s="42"/>
      <c r="M13" s="189">
        <f t="shared" si="0"/>
        <v>2293</v>
      </c>
      <c r="N13" s="100">
        <v>1</v>
      </c>
      <c r="O13" s="100">
        <v>7</v>
      </c>
      <c r="P13" s="100">
        <v>-250</v>
      </c>
      <c r="Q13" s="100">
        <v>0</v>
      </c>
      <c r="R13" s="103"/>
      <c r="S13" s="103"/>
      <c r="T13" s="103">
        <v>1</v>
      </c>
    </row>
    <row r="14" spans="1:20" s="114" customFormat="1" ht="15.75">
      <c r="A14" s="26" t="s">
        <v>8</v>
      </c>
      <c r="B14" s="57" t="s">
        <v>205</v>
      </c>
      <c r="C14" s="43">
        <v>410</v>
      </c>
      <c r="D14" s="43"/>
      <c r="E14" s="243">
        <v>426</v>
      </c>
      <c r="F14" s="43">
        <v>354</v>
      </c>
      <c r="G14" s="43">
        <v>396</v>
      </c>
      <c r="H14" s="43">
        <v>401</v>
      </c>
      <c r="I14" s="43"/>
      <c r="J14" s="43"/>
      <c r="K14" s="43"/>
      <c r="L14" s="43">
        <v>404</v>
      </c>
      <c r="M14" s="186">
        <f t="shared" si="0"/>
        <v>2391</v>
      </c>
      <c r="N14" s="110">
        <v>1</v>
      </c>
      <c r="O14" s="110">
        <v>7</v>
      </c>
      <c r="P14" s="109">
        <v>-205</v>
      </c>
      <c r="Q14" s="110">
        <v>0</v>
      </c>
      <c r="R14" s="113"/>
      <c r="S14" s="113"/>
      <c r="T14" s="113">
        <v>1</v>
      </c>
    </row>
    <row r="15" spans="1:20" s="23" customFormat="1" ht="15.75">
      <c r="A15" s="145" t="s">
        <v>9</v>
      </c>
      <c r="B15" s="153" t="s">
        <v>21</v>
      </c>
      <c r="C15" s="257">
        <v>439</v>
      </c>
      <c r="D15" s="146">
        <v>390</v>
      </c>
      <c r="E15" s="146"/>
      <c r="F15" s="146"/>
      <c r="G15" s="257">
        <v>431</v>
      </c>
      <c r="H15" s="146">
        <v>401</v>
      </c>
      <c r="I15" s="146"/>
      <c r="J15" s="146">
        <v>396</v>
      </c>
      <c r="K15" s="146"/>
      <c r="L15" s="146">
        <v>389</v>
      </c>
      <c r="M15" s="36">
        <f t="shared" si="0"/>
        <v>2446</v>
      </c>
      <c r="N15" s="19">
        <v>2</v>
      </c>
      <c r="O15" s="19">
        <v>6</v>
      </c>
      <c r="P15" s="21">
        <v>-78</v>
      </c>
      <c r="Q15" s="19">
        <v>0</v>
      </c>
      <c r="R15" s="22"/>
      <c r="S15" s="22"/>
      <c r="T15" s="22">
        <v>1</v>
      </c>
    </row>
    <row r="16" spans="1:20" s="114" customFormat="1" ht="15.75">
      <c r="A16" s="26" t="s">
        <v>10</v>
      </c>
      <c r="B16" s="57" t="s">
        <v>26</v>
      </c>
      <c r="C16" s="243">
        <v>427</v>
      </c>
      <c r="D16" s="43">
        <v>394</v>
      </c>
      <c r="E16" s="43">
        <v>417</v>
      </c>
      <c r="F16" s="43"/>
      <c r="G16" s="243">
        <v>430</v>
      </c>
      <c r="H16" s="43">
        <v>391</v>
      </c>
      <c r="I16" s="43"/>
      <c r="J16" s="43">
        <v>377</v>
      </c>
      <c r="K16" s="43"/>
      <c r="L16" s="43"/>
      <c r="M16" s="186">
        <f t="shared" si="0"/>
        <v>2436</v>
      </c>
      <c r="N16" s="110">
        <v>2</v>
      </c>
      <c r="O16" s="110">
        <v>6</v>
      </c>
      <c r="P16" s="109">
        <v>-60</v>
      </c>
      <c r="Q16" s="110">
        <v>0</v>
      </c>
      <c r="R16" s="113"/>
      <c r="S16" s="113"/>
      <c r="T16" s="113">
        <v>1</v>
      </c>
    </row>
    <row r="17" spans="1:20" s="148" customFormat="1" ht="15.75">
      <c r="A17" s="100" t="s">
        <v>11</v>
      </c>
      <c r="B17" s="121" t="s">
        <v>208</v>
      </c>
      <c r="C17" s="258">
        <v>433</v>
      </c>
      <c r="D17" s="120">
        <v>362</v>
      </c>
      <c r="E17" s="120"/>
      <c r="F17" s="120">
        <v>373</v>
      </c>
      <c r="G17" s="258">
        <v>410</v>
      </c>
      <c r="H17" s="120"/>
      <c r="I17" s="120"/>
      <c r="J17" s="120"/>
      <c r="K17" s="120">
        <v>367</v>
      </c>
      <c r="L17" s="120">
        <v>391</v>
      </c>
      <c r="M17" s="190">
        <f t="shared" si="0"/>
        <v>2336</v>
      </c>
      <c r="N17" s="145">
        <v>2</v>
      </c>
      <c r="O17" s="145">
        <v>6</v>
      </c>
      <c r="P17" s="145">
        <v>-98</v>
      </c>
      <c r="Q17" s="145">
        <v>0</v>
      </c>
      <c r="R17" s="176"/>
      <c r="S17" s="176"/>
      <c r="T17" s="176">
        <v>1</v>
      </c>
    </row>
    <row r="18" spans="1:20" s="114" customFormat="1" ht="15.75">
      <c r="A18" s="26" t="s">
        <v>12</v>
      </c>
      <c r="B18" s="57" t="s">
        <v>211</v>
      </c>
      <c r="C18" s="43"/>
      <c r="D18" s="43"/>
      <c r="E18" s="243">
        <v>422</v>
      </c>
      <c r="F18" s="43">
        <v>380</v>
      </c>
      <c r="G18" s="243">
        <v>412</v>
      </c>
      <c r="H18" s="43">
        <v>380</v>
      </c>
      <c r="I18" s="43"/>
      <c r="J18" s="43">
        <v>386</v>
      </c>
      <c r="K18" s="43"/>
      <c r="L18" s="243">
        <v>410</v>
      </c>
      <c r="M18" s="186">
        <f t="shared" si="0"/>
        <v>2390</v>
      </c>
      <c r="N18" s="110">
        <v>3</v>
      </c>
      <c r="O18" s="110">
        <v>5</v>
      </c>
      <c r="P18" s="109">
        <v>-45</v>
      </c>
      <c r="Q18" s="110">
        <v>0</v>
      </c>
      <c r="R18" s="113"/>
      <c r="S18" s="113"/>
      <c r="T18" s="113">
        <v>1</v>
      </c>
    </row>
    <row r="19" spans="1:20" s="104" customFormat="1" ht="15.75">
      <c r="A19" s="19" t="s">
        <v>13</v>
      </c>
      <c r="B19" s="137" t="s">
        <v>20</v>
      </c>
      <c r="C19" s="244">
        <v>410</v>
      </c>
      <c r="D19" s="42">
        <v>408</v>
      </c>
      <c r="E19" s="42">
        <v>355</v>
      </c>
      <c r="F19" s="42"/>
      <c r="G19" s="244">
        <v>417</v>
      </c>
      <c r="H19" s="42"/>
      <c r="I19" s="42"/>
      <c r="J19" s="42">
        <v>396</v>
      </c>
      <c r="K19" s="42"/>
      <c r="L19" s="244">
        <v>424</v>
      </c>
      <c r="M19" s="189">
        <f t="shared" si="0"/>
        <v>2410</v>
      </c>
      <c r="N19" s="100">
        <v>3</v>
      </c>
      <c r="O19" s="100">
        <v>5</v>
      </c>
      <c r="P19" s="154">
        <v>-81</v>
      </c>
      <c r="Q19" s="100">
        <v>0</v>
      </c>
      <c r="R19" s="103"/>
      <c r="S19" s="103"/>
      <c r="T19" s="103">
        <v>1</v>
      </c>
    </row>
    <row r="20" spans="1:20" s="114" customFormat="1" ht="15.75">
      <c r="A20" s="26" t="s">
        <v>14</v>
      </c>
      <c r="B20" s="57" t="s">
        <v>255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89" t="s">
        <v>255</v>
      </c>
      <c r="N20" s="191"/>
      <c r="O20" s="191"/>
      <c r="P20" s="192"/>
      <c r="Q20" s="191"/>
      <c r="R20" s="193"/>
      <c r="S20" s="193"/>
      <c r="T20" s="193"/>
    </row>
    <row r="21" spans="1:20" s="114" customFormat="1" ht="15.75">
      <c r="A21" s="26" t="s">
        <v>261</v>
      </c>
      <c r="B21" s="57" t="s">
        <v>196</v>
      </c>
      <c r="C21" s="243">
        <v>430</v>
      </c>
      <c r="D21" s="43">
        <v>395</v>
      </c>
      <c r="E21" s="43">
        <v>381</v>
      </c>
      <c r="F21" s="43"/>
      <c r="G21" s="243">
        <v>434</v>
      </c>
      <c r="H21" s="43"/>
      <c r="I21" s="43"/>
      <c r="J21" s="43"/>
      <c r="K21" s="43">
        <v>381</v>
      </c>
      <c r="L21" s="243">
        <v>413</v>
      </c>
      <c r="M21" s="40">
        <f t="shared" si="0"/>
        <v>2434</v>
      </c>
      <c r="N21" s="110">
        <v>5</v>
      </c>
      <c r="O21" s="110">
        <v>3</v>
      </c>
      <c r="P21" s="109">
        <v>25</v>
      </c>
      <c r="Q21" s="110">
        <v>2</v>
      </c>
      <c r="R21" s="113">
        <v>1</v>
      </c>
      <c r="S21" s="113"/>
      <c r="T21" s="113"/>
    </row>
    <row r="22" spans="1:20" s="23" customFormat="1" ht="16.5" thickBot="1">
      <c r="A22" s="145" t="s">
        <v>262</v>
      </c>
      <c r="B22" s="153" t="s">
        <v>19</v>
      </c>
      <c r="C22" s="284">
        <v>457</v>
      </c>
      <c r="D22" s="170">
        <v>390</v>
      </c>
      <c r="E22" s="170"/>
      <c r="F22" s="170"/>
      <c r="G22" s="284">
        <v>423</v>
      </c>
      <c r="H22" s="170">
        <v>391</v>
      </c>
      <c r="I22" s="170"/>
      <c r="J22" s="170">
        <v>413</v>
      </c>
      <c r="K22" s="170"/>
      <c r="L22" s="284">
        <v>413</v>
      </c>
      <c r="M22" s="48">
        <f t="shared" si="0"/>
        <v>2487</v>
      </c>
      <c r="N22" s="25">
        <v>3</v>
      </c>
      <c r="O22" s="25">
        <v>5</v>
      </c>
      <c r="P22" s="24">
        <v>-7</v>
      </c>
      <c r="Q22" s="25">
        <v>0</v>
      </c>
      <c r="R22" s="76"/>
      <c r="S22" s="76"/>
      <c r="T22" s="76">
        <v>1</v>
      </c>
    </row>
    <row r="23" spans="3:20" ht="16.5" thickTop="1">
      <c r="C23" s="6">
        <f>SUM(C6:C22)</f>
        <v>5391</v>
      </c>
      <c r="D23" s="6">
        <f aca="true" t="shared" si="1" ref="D23:I23">SUM(D6:D22)</f>
        <v>4680</v>
      </c>
      <c r="E23" s="6">
        <f>SUM(E6:E9)+SUM(E11:E22)</f>
        <v>3226</v>
      </c>
      <c r="F23" s="6">
        <f t="shared" si="1"/>
        <v>3894</v>
      </c>
      <c r="G23" s="6">
        <f t="shared" si="1"/>
        <v>6300</v>
      </c>
      <c r="H23" s="6">
        <f t="shared" si="1"/>
        <v>5177</v>
      </c>
      <c r="I23" s="6">
        <f t="shared" si="1"/>
        <v>0</v>
      </c>
      <c r="J23" s="6">
        <f>SUM(J6:J10)+SUM(J12:J22)</f>
        <v>3119</v>
      </c>
      <c r="K23" s="6">
        <f>SUM(K6:K9)+SUM(K11:K22)</f>
        <v>2624</v>
      </c>
      <c r="L23" s="6">
        <f>SUM(L12:L22)</f>
        <v>3194</v>
      </c>
      <c r="R23" s="2">
        <f>SUM(R6:R22)</f>
        <v>1</v>
      </c>
      <c r="S23" s="2">
        <f>SUM(S6:S22)</f>
        <v>0</v>
      </c>
      <c r="T23" s="2">
        <f>SUM(T6:T22)</f>
        <v>15</v>
      </c>
    </row>
    <row r="24" spans="2:12" ht="15.75">
      <c r="B24" s="1" t="s">
        <v>225</v>
      </c>
      <c r="C24" s="6">
        <f>COUNT(C6:C22)</f>
        <v>13</v>
      </c>
      <c r="D24" s="6">
        <f aca="true" t="shared" si="2" ref="D24:I24">COUNT(D6:D22)</f>
        <v>12</v>
      </c>
      <c r="E24" s="6">
        <f>COUNT(E6:E9)+COUNT(E11:E22)</f>
        <v>8</v>
      </c>
      <c r="F24" s="6">
        <f t="shared" si="2"/>
        <v>10</v>
      </c>
      <c r="G24" s="6">
        <f t="shared" si="2"/>
        <v>15</v>
      </c>
      <c r="H24" s="6">
        <f t="shared" si="2"/>
        <v>13</v>
      </c>
      <c r="I24" s="6">
        <f t="shared" si="2"/>
        <v>0</v>
      </c>
      <c r="J24" s="6">
        <f>COUNT(J6:J10)+COUNT(J12:J22)</f>
        <v>8</v>
      </c>
      <c r="K24" s="6">
        <f>COUNT(K6:K9)+COUNT(K11:K22)</f>
        <v>7</v>
      </c>
      <c r="L24" s="6">
        <f>COUNT(L12:L22)</f>
        <v>8</v>
      </c>
    </row>
    <row r="25" spans="2:20" ht="31.5">
      <c r="B25" s="11" t="s">
        <v>127</v>
      </c>
      <c r="C25" s="16">
        <f>AVERAGE(C6:C22)</f>
        <v>414.6923076923077</v>
      </c>
      <c r="D25" s="16">
        <f>AVERAGE(D6:D22)</f>
        <v>390</v>
      </c>
      <c r="E25" s="16">
        <f>E23/E24</f>
        <v>403.25</v>
      </c>
      <c r="F25" s="16">
        <f>AVERAGE(F6:F22)</f>
        <v>389.4</v>
      </c>
      <c r="G25" s="16">
        <f>AVERAGE(G6:G22)</f>
        <v>420</v>
      </c>
      <c r="H25" s="16">
        <f>AVERAGE(H6:H22)</f>
        <v>398.2307692307692</v>
      </c>
      <c r="I25" s="16"/>
      <c r="J25" s="16">
        <f>J23/J24</f>
        <v>389.875</v>
      </c>
      <c r="K25" s="16">
        <f>K23/K24</f>
        <v>374.85714285714283</v>
      </c>
      <c r="L25" s="16">
        <f>AVERAGE(L12:L22)</f>
        <v>399.25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38369</v>
      </c>
      <c r="N26" s="1">
        <f>SUM(N6:N22)</f>
        <v>37</v>
      </c>
      <c r="O26" s="1">
        <f>SUM(O6:O22)</f>
        <v>91</v>
      </c>
      <c r="P26" s="1">
        <f>SUM(P6:P22)</f>
        <v>-1650</v>
      </c>
      <c r="Q26" s="1">
        <f>SUM(Q6:Q22)</f>
        <v>2</v>
      </c>
      <c r="S26" s="2">
        <f>N26-O26</f>
        <v>-54</v>
      </c>
      <c r="T26" s="2">
        <f>SUM(R23:T23)</f>
        <v>16</v>
      </c>
    </row>
    <row r="28" spans="3:10" ht="15.75">
      <c r="C28" s="377" t="s">
        <v>39</v>
      </c>
      <c r="D28" s="377"/>
      <c r="F28" s="375" t="s">
        <v>132</v>
      </c>
      <c r="G28" s="375"/>
      <c r="I28" s="376" t="s">
        <v>133</v>
      </c>
      <c r="J28" s="376"/>
    </row>
    <row r="29" spans="1:20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226"/>
      <c r="S29" s="226"/>
      <c r="T29" s="226"/>
    </row>
    <row r="30" spans="6:8" ht="15.75">
      <c r="F30" s="49"/>
      <c r="G30" s="49"/>
      <c r="H30" s="49"/>
    </row>
    <row r="31" spans="2:20" ht="44.25" customHeight="1" thickBot="1">
      <c r="B31" s="3" t="s">
        <v>25</v>
      </c>
      <c r="C31" s="8" t="s">
        <v>86</v>
      </c>
      <c r="D31" s="8" t="s">
        <v>87</v>
      </c>
      <c r="E31" s="8" t="s">
        <v>88</v>
      </c>
      <c r="F31" s="8" t="s">
        <v>272</v>
      </c>
      <c r="G31" s="8" t="s">
        <v>198</v>
      </c>
      <c r="H31" s="8" t="s">
        <v>103</v>
      </c>
      <c r="I31" s="8" t="s">
        <v>102</v>
      </c>
      <c r="J31" s="8" t="s">
        <v>129</v>
      </c>
      <c r="K31" s="8" t="s">
        <v>194</v>
      </c>
      <c r="L31" s="8" t="s">
        <v>273</v>
      </c>
      <c r="M31" s="11" t="s">
        <v>30</v>
      </c>
      <c r="N31" s="11" t="s">
        <v>22</v>
      </c>
      <c r="O31" s="11" t="s">
        <v>29</v>
      </c>
      <c r="P31" s="11" t="s">
        <v>31</v>
      </c>
      <c r="Q31" s="10" t="s">
        <v>114</v>
      </c>
      <c r="R31" s="2" t="s">
        <v>184</v>
      </c>
      <c r="S31" s="2" t="s">
        <v>185</v>
      </c>
      <c r="T31" s="2" t="s">
        <v>186</v>
      </c>
    </row>
    <row r="32" spans="1:23" s="23" customFormat="1" ht="15.75">
      <c r="A32" s="145" t="s">
        <v>153</v>
      </c>
      <c r="B32" s="153" t="s">
        <v>205</v>
      </c>
      <c r="C32" s="257">
        <v>408</v>
      </c>
      <c r="D32" s="146"/>
      <c r="E32" s="146">
        <v>398</v>
      </c>
      <c r="F32" s="146">
        <v>365</v>
      </c>
      <c r="G32" s="257">
        <v>421</v>
      </c>
      <c r="H32" s="146"/>
      <c r="I32" s="146"/>
      <c r="J32" s="146">
        <v>405</v>
      </c>
      <c r="K32" s="146"/>
      <c r="L32" s="252">
        <v>415</v>
      </c>
      <c r="M32" s="19">
        <f>SUM(C32:L32)</f>
        <v>2412</v>
      </c>
      <c r="N32" s="33">
        <v>3</v>
      </c>
      <c r="O32" s="33">
        <v>5</v>
      </c>
      <c r="P32" s="33">
        <v>-10</v>
      </c>
      <c r="Q32" s="33">
        <v>0</v>
      </c>
      <c r="R32" s="292"/>
      <c r="S32" s="292"/>
      <c r="T32" s="292">
        <v>1</v>
      </c>
      <c r="U32" s="292"/>
      <c r="V32" s="292"/>
      <c r="W32" s="292"/>
    </row>
    <row r="33" spans="1:23" s="114" customFormat="1" ht="15.75">
      <c r="A33" s="26" t="s">
        <v>154</v>
      </c>
      <c r="B33" s="57" t="s">
        <v>21</v>
      </c>
      <c r="C33" s="256">
        <v>453</v>
      </c>
      <c r="D33" s="111">
        <v>389</v>
      </c>
      <c r="E33" s="111"/>
      <c r="F33" s="111"/>
      <c r="G33" s="256">
        <v>429</v>
      </c>
      <c r="H33" s="111"/>
      <c r="I33" s="111">
        <v>372</v>
      </c>
      <c r="J33" s="111">
        <v>199</v>
      </c>
      <c r="K33" s="111">
        <v>194</v>
      </c>
      <c r="L33" s="111">
        <v>403</v>
      </c>
      <c r="M33" s="110">
        <f aca="true" t="shared" si="3" ref="M33:M48">SUM(C33:L33)</f>
        <v>2439</v>
      </c>
      <c r="N33" s="111">
        <v>2</v>
      </c>
      <c r="O33" s="111">
        <v>6</v>
      </c>
      <c r="P33" s="111">
        <f>M33-2509</f>
        <v>-70</v>
      </c>
      <c r="Q33" s="111">
        <v>0</v>
      </c>
      <c r="R33" s="149"/>
      <c r="S33" s="149"/>
      <c r="T33" s="149">
        <v>1</v>
      </c>
      <c r="U33" s="149"/>
      <c r="V33" s="149"/>
      <c r="W33" s="149"/>
    </row>
    <row r="34" spans="1:23" s="148" customFormat="1" ht="15.75">
      <c r="A34" s="100" t="s">
        <v>155</v>
      </c>
      <c r="B34" s="121" t="s">
        <v>26</v>
      </c>
      <c r="C34" s="289">
        <v>417</v>
      </c>
      <c r="D34" s="289">
        <v>367</v>
      </c>
      <c r="E34" s="282">
        <v>425</v>
      </c>
      <c r="F34" s="289"/>
      <c r="G34" s="282">
        <v>449</v>
      </c>
      <c r="H34" s="289">
        <v>378</v>
      </c>
      <c r="I34" s="289"/>
      <c r="J34" s="282">
        <v>424</v>
      </c>
      <c r="K34" s="289"/>
      <c r="L34" s="289"/>
      <c r="M34" s="145">
        <f t="shared" si="3"/>
        <v>2460</v>
      </c>
      <c r="N34" s="289">
        <v>3</v>
      </c>
      <c r="O34" s="289">
        <v>5</v>
      </c>
      <c r="P34" s="289">
        <v>-92</v>
      </c>
      <c r="Q34" s="289">
        <v>0</v>
      </c>
      <c r="R34" s="290"/>
      <c r="S34" s="290"/>
      <c r="T34" s="290">
        <v>1</v>
      </c>
      <c r="U34" s="290"/>
      <c r="V34" s="290"/>
      <c r="W34" s="290"/>
    </row>
    <row r="35" spans="1:23" s="114" customFormat="1" ht="15.75">
      <c r="A35" s="26" t="s">
        <v>156</v>
      </c>
      <c r="B35" s="57" t="s">
        <v>208</v>
      </c>
      <c r="C35" s="256">
        <v>396</v>
      </c>
      <c r="D35" s="111"/>
      <c r="E35" s="111">
        <v>377</v>
      </c>
      <c r="F35" s="111">
        <v>384</v>
      </c>
      <c r="G35" s="256">
        <v>432</v>
      </c>
      <c r="H35" s="33"/>
      <c r="I35" s="111"/>
      <c r="J35" s="111">
        <v>375</v>
      </c>
      <c r="K35" s="111">
        <v>393</v>
      </c>
      <c r="L35" s="111"/>
      <c r="M35" s="110">
        <f t="shared" si="3"/>
        <v>2357</v>
      </c>
      <c r="N35" s="111">
        <v>2</v>
      </c>
      <c r="O35" s="111">
        <v>6</v>
      </c>
      <c r="P35" s="111">
        <f>M35-2477</f>
        <v>-120</v>
      </c>
      <c r="Q35" s="111">
        <v>0</v>
      </c>
      <c r="R35" s="149"/>
      <c r="S35" s="149"/>
      <c r="T35" s="149">
        <v>1</v>
      </c>
      <c r="U35" s="149"/>
      <c r="V35" s="149"/>
      <c r="W35" s="149"/>
    </row>
    <row r="36" spans="1:23" s="104" customFormat="1" ht="15.75">
      <c r="A36" s="19" t="s">
        <v>157</v>
      </c>
      <c r="B36" s="137" t="s">
        <v>211</v>
      </c>
      <c r="C36" s="323">
        <v>408</v>
      </c>
      <c r="D36" s="101">
        <v>383</v>
      </c>
      <c r="E36" s="101"/>
      <c r="F36" s="323">
        <v>436</v>
      </c>
      <c r="G36" s="101">
        <v>402</v>
      </c>
      <c r="H36" s="101">
        <v>359</v>
      </c>
      <c r="I36" s="101"/>
      <c r="J36" s="101"/>
      <c r="K36" s="101">
        <v>375</v>
      </c>
      <c r="L36" s="101"/>
      <c r="M36" s="100">
        <f t="shared" si="3"/>
        <v>2363</v>
      </c>
      <c r="N36" s="101">
        <v>2</v>
      </c>
      <c r="O36" s="101">
        <v>6</v>
      </c>
      <c r="P36" s="101">
        <v>-115</v>
      </c>
      <c r="Q36" s="101">
        <v>0</v>
      </c>
      <c r="R36" s="150"/>
      <c r="S36" s="150"/>
      <c r="T36" s="150">
        <v>1</v>
      </c>
      <c r="U36" s="150"/>
      <c r="V36" s="150"/>
      <c r="W36" s="150"/>
    </row>
    <row r="37" spans="1:23" s="114" customFormat="1" ht="15.75">
      <c r="A37" s="26" t="s">
        <v>158</v>
      </c>
      <c r="B37" s="57" t="s">
        <v>20</v>
      </c>
      <c r="C37" s="256">
        <v>425</v>
      </c>
      <c r="D37" s="111">
        <v>404</v>
      </c>
      <c r="E37" s="111"/>
      <c r="F37" s="111">
        <v>379</v>
      </c>
      <c r="G37" s="111">
        <v>398</v>
      </c>
      <c r="H37" s="256">
        <v>426</v>
      </c>
      <c r="I37" s="256">
        <v>408</v>
      </c>
      <c r="J37" s="111"/>
      <c r="K37" s="111"/>
      <c r="L37" s="111"/>
      <c r="M37" s="110">
        <f t="shared" si="3"/>
        <v>2440</v>
      </c>
      <c r="N37" s="111">
        <v>3</v>
      </c>
      <c r="O37" s="111">
        <v>5</v>
      </c>
      <c r="P37" s="111">
        <v>-63</v>
      </c>
      <c r="Q37" s="111">
        <v>0</v>
      </c>
      <c r="R37" s="149"/>
      <c r="S37" s="149"/>
      <c r="T37" s="149">
        <v>1</v>
      </c>
      <c r="U37" s="149"/>
      <c r="V37" s="149"/>
      <c r="W37" s="149"/>
    </row>
    <row r="38" spans="1:23" s="299" customFormat="1" ht="15.75">
      <c r="A38" s="293" t="s">
        <v>159</v>
      </c>
      <c r="B38" s="294" t="s">
        <v>255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3">
        <f t="shared" si="3"/>
        <v>0</v>
      </c>
      <c r="N38" s="295"/>
      <c r="O38" s="295"/>
      <c r="P38" s="295"/>
      <c r="Q38" s="295"/>
      <c r="R38" s="296"/>
      <c r="S38" s="296"/>
      <c r="T38" s="296"/>
      <c r="U38" s="296"/>
      <c r="V38" s="296"/>
      <c r="W38" s="296"/>
    </row>
    <row r="39" spans="1:23" s="23" customFormat="1" ht="15.75">
      <c r="A39" s="145" t="s">
        <v>160</v>
      </c>
      <c r="B39" s="153" t="s">
        <v>196</v>
      </c>
      <c r="C39" s="33">
        <v>406</v>
      </c>
      <c r="D39" s="33"/>
      <c r="E39" s="33"/>
      <c r="F39" s="252">
        <v>424</v>
      </c>
      <c r="G39" s="33">
        <v>411</v>
      </c>
      <c r="H39" s="33">
        <v>414</v>
      </c>
      <c r="I39" s="252">
        <v>416</v>
      </c>
      <c r="J39" s="33"/>
      <c r="K39" s="33"/>
      <c r="L39" s="252">
        <v>415</v>
      </c>
      <c r="M39" s="19">
        <f t="shared" si="3"/>
        <v>2486</v>
      </c>
      <c r="N39" s="33">
        <v>3</v>
      </c>
      <c r="O39" s="33">
        <v>5</v>
      </c>
      <c r="P39" s="33">
        <v>-20</v>
      </c>
      <c r="Q39" s="33">
        <v>0</v>
      </c>
      <c r="R39" s="292"/>
      <c r="S39" s="292"/>
      <c r="T39" s="292">
        <v>1</v>
      </c>
      <c r="U39" s="292"/>
      <c r="V39" s="292"/>
      <c r="W39" s="292"/>
    </row>
    <row r="40" spans="1:23" s="114" customFormat="1" ht="15.75">
      <c r="A40" s="26" t="s">
        <v>161</v>
      </c>
      <c r="B40" s="57" t="s">
        <v>19</v>
      </c>
      <c r="C40" s="256">
        <v>414</v>
      </c>
      <c r="D40" s="111">
        <v>410</v>
      </c>
      <c r="E40" s="111"/>
      <c r="F40" s="111">
        <v>346</v>
      </c>
      <c r="G40" s="111">
        <v>400</v>
      </c>
      <c r="H40" s="111">
        <v>388</v>
      </c>
      <c r="I40" s="111"/>
      <c r="J40" s="111"/>
      <c r="K40" s="111"/>
      <c r="L40" s="256">
        <v>436</v>
      </c>
      <c r="M40" s="110">
        <f t="shared" si="3"/>
        <v>2394</v>
      </c>
      <c r="N40" s="111">
        <v>2</v>
      </c>
      <c r="O40" s="111">
        <v>6</v>
      </c>
      <c r="P40" s="111">
        <f>M40-2568</f>
        <v>-174</v>
      </c>
      <c r="Q40" s="111">
        <v>0</v>
      </c>
      <c r="R40" s="149"/>
      <c r="S40" s="149"/>
      <c r="T40" s="149">
        <v>1</v>
      </c>
      <c r="U40" s="149"/>
      <c r="V40" s="149"/>
      <c r="W40" s="149"/>
    </row>
    <row r="41" spans="1:23" s="104" customFormat="1" ht="15.75">
      <c r="A41" s="19" t="s">
        <v>162</v>
      </c>
      <c r="B41" s="137" t="s">
        <v>24</v>
      </c>
      <c r="C41" s="101">
        <v>413</v>
      </c>
      <c r="D41" s="323">
        <v>417</v>
      </c>
      <c r="E41" s="101"/>
      <c r="F41" s="101"/>
      <c r="G41" s="323">
        <v>426</v>
      </c>
      <c r="H41" s="101">
        <v>388</v>
      </c>
      <c r="I41" s="101"/>
      <c r="J41" s="101"/>
      <c r="K41" s="101">
        <v>376</v>
      </c>
      <c r="L41" s="323">
        <v>458</v>
      </c>
      <c r="M41" s="100">
        <f t="shared" si="3"/>
        <v>2478</v>
      </c>
      <c r="N41" s="101">
        <v>3</v>
      </c>
      <c r="O41" s="101">
        <v>5</v>
      </c>
      <c r="P41" s="101">
        <v>-15</v>
      </c>
      <c r="Q41" s="101">
        <v>0</v>
      </c>
      <c r="R41" s="150"/>
      <c r="S41" s="150"/>
      <c r="T41" s="150">
        <v>1</v>
      </c>
      <c r="U41" s="150"/>
      <c r="V41" s="150"/>
      <c r="W41" s="150"/>
    </row>
    <row r="42" spans="1:23" s="114" customFormat="1" ht="15.75">
      <c r="A42" s="26" t="s">
        <v>163</v>
      </c>
      <c r="B42" s="57" t="s">
        <v>17</v>
      </c>
      <c r="C42" s="111">
        <v>408</v>
      </c>
      <c r="D42" s="111">
        <v>400</v>
      </c>
      <c r="E42" s="256">
        <v>427</v>
      </c>
      <c r="F42" s="111"/>
      <c r="G42" s="111">
        <v>421</v>
      </c>
      <c r="H42" s="111"/>
      <c r="I42" s="256">
        <v>442</v>
      </c>
      <c r="J42" s="111"/>
      <c r="K42" s="111"/>
      <c r="L42" s="111">
        <v>402</v>
      </c>
      <c r="M42" s="110">
        <f t="shared" si="3"/>
        <v>2500</v>
      </c>
      <c r="N42" s="111">
        <v>2</v>
      </c>
      <c r="O42" s="111">
        <v>6</v>
      </c>
      <c r="P42" s="111">
        <v>-49</v>
      </c>
      <c r="Q42" s="111">
        <v>0</v>
      </c>
      <c r="R42" s="149"/>
      <c r="S42" s="149"/>
      <c r="T42" s="149">
        <v>1</v>
      </c>
      <c r="U42" s="149"/>
      <c r="V42" s="149"/>
      <c r="W42" s="149"/>
    </row>
    <row r="43" spans="1:23" s="23" customFormat="1" ht="15.75">
      <c r="A43" s="145" t="s">
        <v>164</v>
      </c>
      <c r="B43" s="153" t="s">
        <v>15</v>
      </c>
      <c r="C43" s="252">
        <v>424</v>
      </c>
      <c r="D43" s="33">
        <v>387</v>
      </c>
      <c r="E43" s="33"/>
      <c r="F43" s="252">
        <v>423</v>
      </c>
      <c r="G43" s="252">
        <v>428</v>
      </c>
      <c r="H43" s="33">
        <v>410</v>
      </c>
      <c r="I43" s="33"/>
      <c r="J43" s="33"/>
      <c r="K43" s="33"/>
      <c r="L43" s="252">
        <v>418</v>
      </c>
      <c r="M43" s="19">
        <f t="shared" si="3"/>
        <v>2490</v>
      </c>
      <c r="N43" s="33">
        <v>4</v>
      </c>
      <c r="O43" s="33">
        <v>4</v>
      </c>
      <c r="P43" s="33">
        <v>-5</v>
      </c>
      <c r="Q43" s="33">
        <v>1</v>
      </c>
      <c r="R43" s="292"/>
      <c r="S43" s="292">
        <v>1</v>
      </c>
      <c r="T43" s="292"/>
      <c r="U43" s="292"/>
      <c r="V43" s="292"/>
      <c r="W43" s="292"/>
    </row>
    <row r="44" spans="1:23" s="114" customFormat="1" ht="15.75">
      <c r="A44" s="26" t="s">
        <v>165</v>
      </c>
      <c r="B44" s="57" t="s">
        <v>263</v>
      </c>
      <c r="C44" s="256">
        <v>406</v>
      </c>
      <c r="D44" s="111"/>
      <c r="E44" s="111">
        <v>379</v>
      </c>
      <c r="F44" s="111">
        <v>381</v>
      </c>
      <c r="G44" s="111">
        <v>401</v>
      </c>
      <c r="H44" s="111">
        <v>388</v>
      </c>
      <c r="I44" s="111"/>
      <c r="J44" s="111"/>
      <c r="K44" s="111"/>
      <c r="L44" s="256">
        <v>408</v>
      </c>
      <c r="M44" s="110">
        <f t="shared" si="3"/>
        <v>2363</v>
      </c>
      <c r="N44" s="111">
        <v>2</v>
      </c>
      <c r="O44" s="111">
        <v>6</v>
      </c>
      <c r="P44" s="111">
        <f>M44-2498</f>
        <v>-135</v>
      </c>
      <c r="Q44" s="111">
        <v>0</v>
      </c>
      <c r="R44" s="149"/>
      <c r="S44" s="149"/>
      <c r="T44" s="149">
        <v>1</v>
      </c>
      <c r="U44" s="149"/>
      <c r="V44" s="149"/>
      <c r="W44" s="149"/>
    </row>
    <row r="45" spans="1:23" s="148" customFormat="1" ht="15.75">
      <c r="A45" s="100" t="s">
        <v>265</v>
      </c>
      <c r="B45" s="121" t="s">
        <v>23</v>
      </c>
      <c r="C45" s="289">
        <v>404</v>
      </c>
      <c r="D45" s="289">
        <v>406</v>
      </c>
      <c r="E45" s="289"/>
      <c r="F45" s="289"/>
      <c r="G45" s="282">
        <v>412</v>
      </c>
      <c r="H45" s="289">
        <v>221</v>
      </c>
      <c r="I45" s="289"/>
      <c r="J45" s="289">
        <v>187</v>
      </c>
      <c r="K45" s="289">
        <v>406</v>
      </c>
      <c r="L45" s="282">
        <v>421</v>
      </c>
      <c r="M45" s="145">
        <f t="shared" si="3"/>
        <v>2457</v>
      </c>
      <c r="N45" s="289">
        <v>2</v>
      </c>
      <c r="O45" s="289">
        <v>6</v>
      </c>
      <c r="P45" s="289">
        <v>-18</v>
      </c>
      <c r="Q45" s="289">
        <v>0</v>
      </c>
      <c r="R45" s="290"/>
      <c r="S45" s="290"/>
      <c r="T45" s="290">
        <v>1</v>
      </c>
      <c r="U45" s="290"/>
      <c r="V45" s="290"/>
      <c r="W45" s="290"/>
    </row>
    <row r="46" spans="1:23" s="114" customFormat="1" ht="15.75">
      <c r="A46" s="26" t="s">
        <v>266</v>
      </c>
      <c r="B46" s="57" t="s">
        <v>260</v>
      </c>
      <c r="C46" s="346">
        <v>416</v>
      </c>
      <c r="D46" s="111">
        <v>410</v>
      </c>
      <c r="E46" s="111"/>
      <c r="F46" s="111">
        <v>393</v>
      </c>
      <c r="G46" s="111">
        <v>376</v>
      </c>
      <c r="H46" s="111">
        <v>405</v>
      </c>
      <c r="I46" s="111"/>
      <c r="J46" s="111"/>
      <c r="K46" s="111">
        <v>396</v>
      </c>
      <c r="L46" s="111"/>
      <c r="M46" s="110">
        <f t="shared" si="3"/>
        <v>2396</v>
      </c>
      <c r="N46" s="111">
        <v>1</v>
      </c>
      <c r="O46" s="111">
        <v>7</v>
      </c>
      <c r="P46" s="111">
        <v>-133</v>
      </c>
      <c r="Q46" s="111">
        <v>0</v>
      </c>
      <c r="R46" s="149"/>
      <c r="S46" s="149"/>
      <c r="T46" s="149">
        <v>1</v>
      </c>
      <c r="U46" s="149"/>
      <c r="V46" s="149"/>
      <c r="W46" s="149"/>
    </row>
    <row r="47" spans="1:23" s="104" customFormat="1" ht="15.75">
      <c r="A47" s="19" t="s">
        <v>303</v>
      </c>
      <c r="B47" s="137" t="s">
        <v>209</v>
      </c>
      <c r="C47" s="347">
        <v>399</v>
      </c>
      <c r="D47" s="347">
        <v>403</v>
      </c>
      <c r="E47" s="101"/>
      <c r="F47" s="101">
        <v>391</v>
      </c>
      <c r="G47" s="101"/>
      <c r="H47" s="347">
        <v>395</v>
      </c>
      <c r="I47" s="101">
        <v>368</v>
      </c>
      <c r="J47" s="101"/>
      <c r="K47" s="101">
        <v>388</v>
      </c>
      <c r="L47" s="101"/>
      <c r="M47" s="100">
        <f t="shared" si="3"/>
        <v>2344</v>
      </c>
      <c r="N47" s="101">
        <v>3</v>
      </c>
      <c r="O47" s="101">
        <v>5</v>
      </c>
      <c r="P47" s="101">
        <f>M47-2362</f>
        <v>-18</v>
      </c>
      <c r="Q47" s="101">
        <v>0</v>
      </c>
      <c r="R47" s="150"/>
      <c r="S47" s="150"/>
      <c r="T47" s="150">
        <v>1</v>
      </c>
      <c r="U47" s="150"/>
      <c r="V47" s="150"/>
      <c r="W47" s="150"/>
    </row>
    <row r="48" spans="1:23" s="114" customFormat="1" ht="16.5" thickBot="1">
      <c r="A48" s="26" t="s">
        <v>304</v>
      </c>
      <c r="B48" s="57" t="s">
        <v>16</v>
      </c>
      <c r="C48" s="346">
        <v>480</v>
      </c>
      <c r="D48" s="111">
        <v>387</v>
      </c>
      <c r="E48" s="111"/>
      <c r="F48" s="111">
        <v>372</v>
      </c>
      <c r="G48" s="111">
        <v>402</v>
      </c>
      <c r="H48" s="111">
        <v>398</v>
      </c>
      <c r="I48" s="111"/>
      <c r="J48" s="111"/>
      <c r="K48" s="111">
        <v>383</v>
      </c>
      <c r="L48" s="111"/>
      <c r="M48" s="110">
        <f t="shared" si="3"/>
        <v>2422</v>
      </c>
      <c r="N48" s="115">
        <v>1</v>
      </c>
      <c r="O48" s="115">
        <v>7</v>
      </c>
      <c r="P48" s="115">
        <v>-147</v>
      </c>
      <c r="Q48" s="115">
        <v>0</v>
      </c>
      <c r="R48" s="313"/>
      <c r="S48" s="313"/>
      <c r="T48" s="313">
        <v>1</v>
      </c>
      <c r="U48" s="149"/>
      <c r="V48" s="149"/>
      <c r="W48" s="149"/>
    </row>
    <row r="49" spans="3:20" ht="16.5" thickTop="1">
      <c r="C49" s="64">
        <f aca="true" t="shared" si="4" ref="C49:L49">SUM(C32:C48)</f>
        <v>6677</v>
      </c>
      <c r="D49" s="64">
        <f t="shared" si="4"/>
        <v>4763</v>
      </c>
      <c r="E49" s="64">
        <f t="shared" si="4"/>
        <v>2006</v>
      </c>
      <c r="F49" s="64">
        <f t="shared" si="4"/>
        <v>4294</v>
      </c>
      <c r="G49" s="64">
        <f t="shared" si="4"/>
        <v>6208</v>
      </c>
      <c r="H49" s="64">
        <f>SUM(H32:H44)+SUM(H46:H48)</f>
        <v>4349</v>
      </c>
      <c r="I49" s="64">
        <f t="shared" si="4"/>
        <v>2006</v>
      </c>
      <c r="J49" s="64">
        <f>SUM(J34:J44)+J32+SUM(J46:J48)</f>
        <v>1204</v>
      </c>
      <c r="K49" s="64">
        <f>SUM(K34:K48)</f>
        <v>2717</v>
      </c>
      <c r="L49" s="64">
        <f t="shared" si="4"/>
        <v>3776</v>
      </c>
      <c r="N49" s="1">
        <f>SUM(N32:N48)</f>
        <v>38</v>
      </c>
      <c r="O49" s="1">
        <f>SUM(O32:O48)</f>
        <v>90</v>
      </c>
      <c r="P49" s="1">
        <f>SUM(P32:P48)</f>
        <v>-1184</v>
      </c>
      <c r="Q49" s="1">
        <f>SUM(Q32:Q48)</f>
        <v>1</v>
      </c>
      <c r="R49" s="1">
        <f>SUM(R32:R48)+R23</f>
        <v>1</v>
      </c>
      <c r="S49" s="1">
        <f>SUM(S32:S48)+S23</f>
        <v>1</v>
      </c>
      <c r="T49" s="1">
        <f>SUM(T32:T48)+T23</f>
        <v>30</v>
      </c>
    </row>
    <row r="50" spans="2:12" ht="31.5">
      <c r="B50" s="67" t="s">
        <v>250</v>
      </c>
      <c r="C50" s="1">
        <f aca="true" t="shared" si="5" ref="C50:L50">COUNT(C32:C48)</f>
        <v>16</v>
      </c>
      <c r="D50" s="1">
        <f t="shared" si="5"/>
        <v>12</v>
      </c>
      <c r="E50" s="1">
        <f t="shared" si="5"/>
        <v>5</v>
      </c>
      <c r="F50" s="1">
        <f t="shared" si="5"/>
        <v>11</v>
      </c>
      <c r="G50" s="1">
        <f t="shared" si="5"/>
        <v>15</v>
      </c>
      <c r="H50" s="1">
        <f>COUNT(H32:H44)+COUNT(H46:H48)</f>
        <v>11</v>
      </c>
      <c r="I50" s="1">
        <f t="shared" si="5"/>
        <v>5</v>
      </c>
      <c r="J50" s="1">
        <f>COUNT(J34:J44)+COUNT(J32)+COUNT(J46:J48)</f>
        <v>3</v>
      </c>
      <c r="K50" s="1">
        <f>COUNT(K34:K48)</f>
        <v>7</v>
      </c>
      <c r="L50" s="1">
        <f t="shared" si="5"/>
        <v>9</v>
      </c>
    </row>
    <row r="51" spans="2:20" ht="31.5">
      <c r="B51" s="11" t="s">
        <v>247</v>
      </c>
      <c r="C51" s="65">
        <f>C49/C50</f>
        <v>417.3125</v>
      </c>
      <c r="D51" s="65">
        <f>D49/D50</f>
        <v>396.9166666666667</v>
      </c>
      <c r="E51" s="65">
        <f>E49/E50</f>
        <v>401.2</v>
      </c>
      <c r="F51" s="65">
        <f aca="true" t="shared" si="6" ref="F51:L51">F49/F50</f>
        <v>390.3636363636364</v>
      </c>
      <c r="G51" s="65">
        <f t="shared" si="6"/>
        <v>413.8666666666667</v>
      </c>
      <c r="H51" s="65">
        <f t="shared" si="6"/>
        <v>395.3636363636364</v>
      </c>
      <c r="I51" s="65">
        <f t="shared" si="6"/>
        <v>401.2</v>
      </c>
      <c r="J51" s="65">
        <f t="shared" si="6"/>
        <v>401.3333333333333</v>
      </c>
      <c r="K51" s="65">
        <f t="shared" si="6"/>
        <v>388.14285714285717</v>
      </c>
      <c r="L51" s="65">
        <f t="shared" si="6"/>
        <v>419.55555555555554</v>
      </c>
      <c r="M51" s="3" t="s">
        <v>30</v>
      </c>
      <c r="N51" s="371" t="s">
        <v>115</v>
      </c>
      <c r="O51" s="371"/>
      <c r="P51" s="3" t="s">
        <v>31</v>
      </c>
      <c r="Q51" s="10" t="s">
        <v>116</v>
      </c>
      <c r="S51" s="74" t="s">
        <v>126</v>
      </c>
      <c r="T51" s="74" t="s">
        <v>223</v>
      </c>
    </row>
    <row r="52" spans="13:20" ht="15.75">
      <c r="M52" s="6">
        <f>SUM(M32:M48)+M26</f>
        <v>77170</v>
      </c>
      <c r="N52" s="6">
        <f>SUM(N32:N48)+N26</f>
        <v>75</v>
      </c>
      <c r="O52" s="6">
        <f>SUM(O32:O48)+O26</f>
        <v>181</v>
      </c>
      <c r="P52" s="6">
        <f>SUM(P32:P48)+P26</f>
        <v>-2834</v>
      </c>
      <c r="Q52" s="6">
        <f>SUM(Q32:Q48)+Q26</f>
        <v>3</v>
      </c>
      <c r="S52" s="2">
        <f>N52-O52</f>
        <v>-106</v>
      </c>
      <c r="T52" s="2">
        <f>SUM(R49:T49)</f>
        <v>32</v>
      </c>
    </row>
    <row r="54" spans="13:14" ht="15.75">
      <c r="M54" s="1" t="s">
        <v>128</v>
      </c>
      <c r="N54" s="18">
        <f>M52/T52</f>
        <v>2411.5625</v>
      </c>
    </row>
  </sheetData>
  <sheetProtection/>
  <mergeCells count="9">
    <mergeCell ref="N51:O51"/>
    <mergeCell ref="E1:F1"/>
    <mergeCell ref="N4:O4"/>
    <mergeCell ref="C28:D28"/>
    <mergeCell ref="N25:O25"/>
    <mergeCell ref="F28:G28"/>
    <mergeCell ref="I28:J28"/>
    <mergeCell ref="C4:L4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V53"/>
  <sheetViews>
    <sheetView zoomScale="90" zoomScaleNormal="90" zoomScalePageLayoutView="0" workbookViewId="0" topLeftCell="B28">
      <selection activeCell="H50" sqref="H50"/>
    </sheetView>
  </sheetViews>
  <sheetFormatPr defaultColWidth="9.00390625" defaultRowHeight="12.75"/>
  <cols>
    <col min="1" max="1" width="11.25390625" style="4" bestFit="1" customWidth="1"/>
    <col min="2" max="2" width="14.75390625" style="4" bestFit="1" customWidth="1"/>
    <col min="3" max="3" width="12.375" style="4" customWidth="1"/>
    <col min="4" max="5" width="9.625" style="4" customWidth="1"/>
    <col min="6" max="6" width="10.125" style="4" customWidth="1"/>
    <col min="7" max="7" width="7.25390625" style="4" bestFit="1" customWidth="1"/>
    <col min="8" max="8" width="9.125" style="4" customWidth="1"/>
    <col min="9" max="12" width="9.75390625" style="4" customWidth="1"/>
    <col min="13" max="13" width="11.125" style="4" customWidth="1"/>
    <col min="14" max="14" width="10.125" style="4" customWidth="1"/>
    <col min="15" max="15" width="18.25390625" style="1" bestFit="1" customWidth="1"/>
    <col min="16" max="16" width="16.375" style="1" customWidth="1"/>
    <col min="17" max="17" width="10.375" style="1" customWidth="1"/>
    <col min="18" max="18" width="13.375" style="1" customWidth="1"/>
    <col min="19" max="19" width="11.875" style="1" customWidth="1"/>
    <col min="21" max="21" width="12.00390625" style="0" customWidth="1"/>
    <col min="22" max="22" width="10.75390625" style="0" customWidth="1"/>
  </cols>
  <sheetData>
    <row r="1" spans="1:19" ht="15.75">
      <c r="A1" s="58" t="s">
        <v>141</v>
      </c>
      <c r="B1" s="59"/>
      <c r="C1" s="59" t="s">
        <v>280</v>
      </c>
      <c r="D1" s="59" t="s">
        <v>145</v>
      </c>
      <c r="E1" s="59"/>
      <c r="F1" s="59"/>
      <c r="G1" s="372" t="s">
        <v>281</v>
      </c>
      <c r="H1" s="372"/>
      <c r="I1" s="372"/>
      <c r="J1" s="59"/>
      <c r="K1" s="59"/>
      <c r="L1" s="59"/>
      <c r="M1" s="368" t="s">
        <v>151</v>
      </c>
      <c r="N1" s="368"/>
      <c r="O1" s="11" t="s">
        <v>152</v>
      </c>
      <c r="P1" s="13" t="s">
        <v>126</v>
      </c>
      <c r="R1" s="225" t="s">
        <v>128</v>
      </c>
      <c r="S1" s="18">
        <f>O26/V26</f>
        <v>2473.375</v>
      </c>
    </row>
    <row r="2" spans="13:19" ht="15.75">
      <c r="M2" s="6">
        <f>P26+P51</f>
        <v>122</v>
      </c>
      <c r="N2" s="6">
        <f>Q26+Q51</f>
        <v>134</v>
      </c>
      <c r="O2" s="6">
        <f>S26+S48</f>
        <v>30</v>
      </c>
      <c r="P2" s="1">
        <f>M2-N2</f>
        <v>-12</v>
      </c>
      <c r="R2" s="225" t="s">
        <v>234</v>
      </c>
      <c r="S2" s="6">
        <f>O7+O9+O11+O13+O16+O18+O20+O22</f>
        <v>19695</v>
      </c>
    </row>
    <row r="4" spans="3:22" ht="15.75">
      <c r="C4" s="380" t="s">
        <v>27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P4" s="371" t="s">
        <v>28</v>
      </c>
      <c r="Q4" s="371"/>
      <c r="T4" s="2"/>
      <c r="U4" s="2"/>
      <c r="V4" s="2"/>
    </row>
    <row r="5" spans="2:22" ht="35.25" customHeight="1" thickBot="1">
      <c r="B5" s="5" t="s">
        <v>25</v>
      </c>
      <c r="C5" s="223" t="s">
        <v>282</v>
      </c>
      <c r="D5" s="223" t="s">
        <v>283</v>
      </c>
      <c r="E5" s="261" t="s">
        <v>296</v>
      </c>
      <c r="F5" s="223" t="s">
        <v>284</v>
      </c>
      <c r="G5" s="223" t="s">
        <v>285</v>
      </c>
      <c r="H5" s="223" t="s">
        <v>212</v>
      </c>
      <c r="I5" s="223" t="s">
        <v>286</v>
      </c>
      <c r="J5" s="271" t="s">
        <v>298</v>
      </c>
      <c r="K5" s="261" t="s">
        <v>297</v>
      </c>
      <c r="L5" s="223" t="s">
        <v>289</v>
      </c>
      <c r="M5" s="223" t="s">
        <v>287</v>
      </c>
      <c r="N5" s="223" t="s">
        <v>288</v>
      </c>
      <c r="O5" s="3" t="s">
        <v>30</v>
      </c>
      <c r="P5" s="3" t="s">
        <v>263</v>
      </c>
      <c r="Q5" s="3" t="s">
        <v>29</v>
      </c>
      <c r="R5" s="3" t="s">
        <v>31</v>
      </c>
      <c r="S5" s="10" t="s">
        <v>114</v>
      </c>
      <c r="T5" s="2" t="s">
        <v>184</v>
      </c>
      <c r="U5" s="2" t="s">
        <v>185</v>
      </c>
      <c r="V5" s="2" t="s">
        <v>186</v>
      </c>
    </row>
    <row r="6" spans="1:22" s="104" customFormat="1" ht="15.75">
      <c r="A6" s="34" t="s">
        <v>0</v>
      </c>
      <c r="B6" s="137" t="s">
        <v>208</v>
      </c>
      <c r="C6" s="44">
        <v>415</v>
      </c>
      <c r="D6" s="244">
        <v>454</v>
      </c>
      <c r="E6" s="42"/>
      <c r="F6" s="42"/>
      <c r="G6" s="249">
        <v>420</v>
      </c>
      <c r="H6" s="249">
        <v>429</v>
      </c>
      <c r="I6" s="44"/>
      <c r="J6" s="44"/>
      <c r="K6" s="44"/>
      <c r="L6" s="44">
        <v>369</v>
      </c>
      <c r="M6" s="44"/>
      <c r="N6" s="44">
        <v>388</v>
      </c>
      <c r="O6" s="189">
        <f aca="true" t="shared" si="0" ref="O6:O21">SUM(C6:N6)</f>
        <v>2475</v>
      </c>
      <c r="P6" s="100">
        <v>3</v>
      </c>
      <c r="Q6" s="100">
        <v>5</v>
      </c>
      <c r="R6" s="100">
        <v>-8</v>
      </c>
      <c r="S6" s="100">
        <v>0</v>
      </c>
      <c r="T6" s="103"/>
      <c r="U6" s="103"/>
      <c r="V6" s="103">
        <v>1</v>
      </c>
    </row>
    <row r="7" spans="1:22" s="114" customFormat="1" ht="15.75">
      <c r="A7" s="32" t="s">
        <v>1</v>
      </c>
      <c r="B7" s="57" t="s">
        <v>211</v>
      </c>
      <c r="C7" s="251">
        <v>434</v>
      </c>
      <c r="D7" s="43"/>
      <c r="E7" s="43"/>
      <c r="F7" s="243">
        <v>402</v>
      </c>
      <c r="G7" s="47">
        <v>391</v>
      </c>
      <c r="H7" s="47">
        <v>365</v>
      </c>
      <c r="I7" s="47">
        <v>398</v>
      </c>
      <c r="J7" s="47"/>
      <c r="K7" s="47"/>
      <c r="L7" s="47">
        <v>186</v>
      </c>
      <c r="N7" s="47">
        <v>166</v>
      </c>
      <c r="O7" s="186">
        <f t="shared" si="0"/>
        <v>2342</v>
      </c>
      <c r="P7" s="110">
        <v>2</v>
      </c>
      <c r="Q7" s="110">
        <v>6</v>
      </c>
      <c r="R7" s="110">
        <v>-117</v>
      </c>
      <c r="S7" s="110">
        <v>0</v>
      </c>
      <c r="T7" s="113"/>
      <c r="U7" s="113"/>
      <c r="V7" s="113">
        <v>1</v>
      </c>
    </row>
    <row r="8" spans="1:22" s="23" customFormat="1" ht="15.75">
      <c r="A8" s="222" t="s">
        <v>2</v>
      </c>
      <c r="B8" s="153" t="s">
        <v>20</v>
      </c>
      <c r="C8" s="160">
        <v>372</v>
      </c>
      <c r="D8" s="257">
        <v>399</v>
      </c>
      <c r="E8" s="262">
        <v>420</v>
      </c>
      <c r="F8" s="146"/>
      <c r="G8" s="160">
        <v>387</v>
      </c>
      <c r="H8" s="160">
        <v>393</v>
      </c>
      <c r="I8" s="160">
        <v>383</v>
      </c>
      <c r="J8" s="160"/>
      <c r="K8" s="160"/>
      <c r="L8" s="160"/>
      <c r="N8" s="160"/>
      <c r="O8" s="36">
        <f>SUM(C8:N8)</f>
        <v>2354</v>
      </c>
      <c r="P8" s="19">
        <v>2</v>
      </c>
      <c r="Q8" s="19">
        <v>6</v>
      </c>
      <c r="R8" s="21">
        <f>O8-2481</f>
        <v>-127</v>
      </c>
      <c r="S8" s="19">
        <v>0</v>
      </c>
      <c r="T8" s="22"/>
      <c r="U8" s="22"/>
      <c r="V8" s="22">
        <v>1</v>
      </c>
    </row>
    <row r="9" spans="1:22" s="114" customFormat="1" ht="15.75">
      <c r="A9" s="32" t="s">
        <v>3</v>
      </c>
      <c r="B9" s="57" t="s">
        <v>22</v>
      </c>
      <c r="C9" s="47"/>
      <c r="D9" s="243">
        <v>431</v>
      </c>
      <c r="E9" s="43">
        <v>401</v>
      </c>
      <c r="F9" s="243">
        <v>434</v>
      </c>
      <c r="G9" s="47">
        <v>373</v>
      </c>
      <c r="H9" s="251">
        <v>420</v>
      </c>
      <c r="I9" s="251">
        <v>410</v>
      </c>
      <c r="J9" s="47"/>
      <c r="K9" s="47"/>
      <c r="L9" s="47"/>
      <c r="M9" s="47"/>
      <c r="O9" s="186">
        <f t="shared" si="0"/>
        <v>2469</v>
      </c>
      <c r="P9" s="110">
        <v>6</v>
      </c>
      <c r="Q9" s="110">
        <v>2</v>
      </c>
      <c r="R9" s="109">
        <v>106</v>
      </c>
      <c r="S9" s="110">
        <v>2</v>
      </c>
      <c r="T9" s="113">
        <v>1</v>
      </c>
      <c r="U9" s="113"/>
      <c r="V9" s="113"/>
    </row>
    <row r="10" spans="1:22" s="148" customFormat="1" ht="15.75">
      <c r="A10" s="136" t="s">
        <v>4</v>
      </c>
      <c r="B10" s="121" t="s">
        <v>196</v>
      </c>
      <c r="C10" s="254">
        <v>422</v>
      </c>
      <c r="D10" s="120">
        <v>396</v>
      </c>
      <c r="E10" s="120"/>
      <c r="F10" s="120"/>
      <c r="G10" s="254">
        <v>427</v>
      </c>
      <c r="H10" s="254">
        <v>419</v>
      </c>
      <c r="I10" s="129">
        <v>405</v>
      </c>
      <c r="J10" s="129"/>
      <c r="K10" s="254">
        <v>436</v>
      </c>
      <c r="L10" s="129"/>
      <c r="M10" s="129"/>
      <c r="O10" s="190">
        <f>SUM(C10:M10)</f>
        <v>2505</v>
      </c>
      <c r="P10" s="145">
        <v>6</v>
      </c>
      <c r="Q10" s="145">
        <v>2</v>
      </c>
      <c r="R10" s="175">
        <f>O10-2348</f>
        <v>157</v>
      </c>
      <c r="S10" s="145">
        <v>2</v>
      </c>
      <c r="T10" s="176">
        <v>1</v>
      </c>
      <c r="U10" s="176"/>
      <c r="V10" s="176"/>
    </row>
    <row r="11" spans="1:22" s="30" customFormat="1" ht="15.75">
      <c r="A11" s="32" t="s">
        <v>5</v>
      </c>
      <c r="B11" s="57" t="s">
        <v>19</v>
      </c>
      <c r="C11" s="117">
        <v>417</v>
      </c>
      <c r="D11" s="255">
        <v>435</v>
      </c>
      <c r="E11" s="118"/>
      <c r="F11" s="255">
        <v>427</v>
      </c>
      <c r="G11" s="135">
        <v>421</v>
      </c>
      <c r="H11" s="135"/>
      <c r="I11" s="135">
        <v>408</v>
      </c>
      <c r="J11" s="135"/>
      <c r="K11" s="135">
        <v>386</v>
      </c>
      <c r="L11" s="135"/>
      <c r="M11" s="135"/>
      <c r="N11" s="135"/>
      <c r="O11" s="40">
        <f t="shared" si="0"/>
        <v>2494</v>
      </c>
      <c r="P11" s="26">
        <v>2</v>
      </c>
      <c r="Q11" s="26">
        <v>6</v>
      </c>
      <c r="R11" s="26">
        <v>-79</v>
      </c>
      <c r="S11" s="26">
        <v>0</v>
      </c>
      <c r="T11" s="29"/>
      <c r="U11" s="29"/>
      <c r="V11" s="29">
        <v>1</v>
      </c>
    </row>
    <row r="12" spans="1:22" s="104" customFormat="1" ht="15.75">
      <c r="A12" s="34" t="s">
        <v>6</v>
      </c>
      <c r="B12" s="137" t="s">
        <v>24</v>
      </c>
      <c r="C12" s="249">
        <v>435</v>
      </c>
      <c r="D12" s="42">
        <v>411</v>
      </c>
      <c r="E12" s="42"/>
      <c r="F12" s="244">
        <v>421</v>
      </c>
      <c r="G12" s="249">
        <v>457</v>
      </c>
      <c r="H12" s="44"/>
      <c r="I12" s="249">
        <v>444</v>
      </c>
      <c r="J12" s="44"/>
      <c r="K12" s="44"/>
      <c r="L12" s="44">
        <v>385</v>
      </c>
      <c r="M12" s="44"/>
      <c r="N12" s="44"/>
      <c r="O12" s="189">
        <f t="shared" si="0"/>
        <v>2553</v>
      </c>
      <c r="P12" s="100">
        <v>6</v>
      </c>
      <c r="Q12" s="100">
        <v>2</v>
      </c>
      <c r="R12" s="154">
        <v>55</v>
      </c>
      <c r="S12" s="100">
        <v>2</v>
      </c>
      <c r="T12" s="103">
        <v>1</v>
      </c>
      <c r="U12" s="103"/>
      <c r="V12" s="103"/>
    </row>
    <row r="13" spans="1:22" s="30" customFormat="1" ht="15.75">
      <c r="A13" s="125" t="s">
        <v>7</v>
      </c>
      <c r="B13" s="123" t="s">
        <v>17</v>
      </c>
      <c r="C13" s="135">
        <v>395</v>
      </c>
      <c r="D13" s="255">
        <v>422</v>
      </c>
      <c r="E13" s="118"/>
      <c r="F13" s="118">
        <v>417</v>
      </c>
      <c r="G13" s="266">
        <v>448</v>
      </c>
      <c r="H13" s="135">
        <v>379</v>
      </c>
      <c r="I13" s="135">
        <v>410</v>
      </c>
      <c r="J13" s="135"/>
      <c r="K13" s="135"/>
      <c r="L13" s="135"/>
      <c r="M13" s="135"/>
      <c r="N13" s="135"/>
      <c r="O13" s="40">
        <f t="shared" si="0"/>
        <v>2471</v>
      </c>
      <c r="P13" s="26">
        <v>2</v>
      </c>
      <c r="Q13" s="26">
        <v>6</v>
      </c>
      <c r="R13" s="28">
        <f>O13-2541</f>
        <v>-70</v>
      </c>
      <c r="S13" s="26">
        <v>0</v>
      </c>
      <c r="T13" s="29"/>
      <c r="U13" s="29"/>
      <c r="V13" s="29">
        <v>1</v>
      </c>
    </row>
    <row r="14" spans="1:22" s="23" customFormat="1" ht="15.75">
      <c r="A14" s="222" t="s">
        <v>8</v>
      </c>
      <c r="B14" s="153" t="s">
        <v>15</v>
      </c>
      <c r="C14" s="160">
        <v>414</v>
      </c>
      <c r="D14" s="262">
        <v>427</v>
      </c>
      <c r="E14" s="160"/>
      <c r="F14" s="160"/>
      <c r="G14" s="262">
        <v>432</v>
      </c>
      <c r="H14" s="160">
        <v>404</v>
      </c>
      <c r="I14" s="262">
        <v>416</v>
      </c>
      <c r="J14" s="160"/>
      <c r="K14" s="160"/>
      <c r="L14" s="160">
        <v>329</v>
      </c>
      <c r="M14" s="160"/>
      <c r="O14" s="36">
        <f t="shared" si="0"/>
        <v>2422</v>
      </c>
      <c r="P14" s="19">
        <v>3</v>
      </c>
      <c r="Q14" s="19">
        <v>5</v>
      </c>
      <c r="R14" s="19">
        <v>-70</v>
      </c>
      <c r="S14" s="19">
        <v>0</v>
      </c>
      <c r="T14" s="22"/>
      <c r="U14" s="22"/>
      <c r="V14" s="22">
        <v>1</v>
      </c>
    </row>
    <row r="15" spans="1:22" s="30" customFormat="1" ht="15.75">
      <c r="A15" s="125" t="s">
        <v>9</v>
      </c>
      <c r="B15" s="123" t="s">
        <v>255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40" t="s">
        <v>255</v>
      </c>
      <c r="P15" s="237"/>
      <c r="Q15" s="237"/>
      <c r="R15" s="237"/>
      <c r="S15" s="237"/>
      <c r="T15" s="238"/>
      <c r="U15" s="238"/>
      <c r="V15" s="238"/>
    </row>
    <row r="16" spans="1:22" s="30" customFormat="1" ht="15.75">
      <c r="A16" s="125" t="s">
        <v>10</v>
      </c>
      <c r="B16" s="123" t="s">
        <v>23</v>
      </c>
      <c r="C16" s="266">
        <v>429</v>
      </c>
      <c r="D16" s="118"/>
      <c r="E16" s="118"/>
      <c r="F16" s="118">
        <v>420</v>
      </c>
      <c r="G16" s="135">
        <v>419</v>
      </c>
      <c r="H16" s="266">
        <v>429</v>
      </c>
      <c r="I16" s="266">
        <v>454</v>
      </c>
      <c r="J16" s="266">
        <v>436</v>
      </c>
      <c r="K16" s="135"/>
      <c r="L16" s="135"/>
      <c r="M16" s="135"/>
      <c r="N16" s="135"/>
      <c r="O16" s="40">
        <f t="shared" si="0"/>
        <v>2587</v>
      </c>
      <c r="P16" s="26">
        <v>6</v>
      </c>
      <c r="Q16" s="26">
        <v>2</v>
      </c>
      <c r="R16" s="28">
        <f>O16-2459</f>
        <v>128</v>
      </c>
      <c r="S16" s="26">
        <v>2</v>
      </c>
      <c r="T16" s="29">
        <v>1</v>
      </c>
      <c r="U16" s="29"/>
      <c r="V16" s="29"/>
    </row>
    <row r="17" spans="1:22" s="148" customFormat="1" ht="15.75">
      <c r="A17" s="136" t="s">
        <v>11</v>
      </c>
      <c r="B17" s="121" t="s">
        <v>260</v>
      </c>
      <c r="C17" s="129"/>
      <c r="D17" s="120">
        <v>422</v>
      </c>
      <c r="E17" s="120"/>
      <c r="F17" s="120">
        <v>409</v>
      </c>
      <c r="G17" s="254">
        <v>484</v>
      </c>
      <c r="H17" s="129">
        <v>409</v>
      </c>
      <c r="I17" s="129">
        <v>382</v>
      </c>
      <c r="J17" s="254">
        <v>471</v>
      </c>
      <c r="K17" s="129"/>
      <c r="L17" s="129"/>
      <c r="M17" s="129"/>
      <c r="O17" s="190">
        <f>SUM(C17:M17)</f>
        <v>2577</v>
      </c>
      <c r="P17" s="145">
        <v>2</v>
      </c>
      <c r="Q17" s="145">
        <v>6</v>
      </c>
      <c r="R17" s="145">
        <v>-7</v>
      </c>
      <c r="S17" s="145">
        <v>0</v>
      </c>
      <c r="T17" s="176"/>
      <c r="U17" s="176"/>
      <c r="V17" s="176">
        <v>1</v>
      </c>
    </row>
    <row r="18" spans="1:22" s="30" customFormat="1" ht="15.75">
      <c r="A18" s="125" t="s">
        <v>12</v>
      </c>
      <c r="B18" s="123" t="s">
        <v>209</v>
      </c>
      <c r="C18" s="251">
        <v>395</v>
      </c>
      <c r="D18" s="43"/>
      <c r="E18" s="43">
        <v>380</v>
      </c>
      <c r="F18" s="43">
        <v>390</v>
      </c>
      <c r="G18" s="47">
        <v>384</v>
      </c>
      <c r="H18" s="47">
        <v>353</v>
      </c>
      <c r="I18" s="47">
        <v>374</v>
      </c>
      <c r="J18" s="47"/>
      <c r="K18" s="47"/>
      <c r="L18" s="47"/>
      <c r="M18" s="47"/>
      <c r="N18" s="47"/>
      <c r="O18" s="279">
        <f t="shared" si="0"/>
        <v>2276</v>
      </c>
      <c r="P18" s="57">
        <v>1</v>
      </c>
      <c r="Q18" s="57">
        <v>7</v>
      </c>
      <c r="R18" s="280">
        <f>O18-2435</f>
        <v>-159</v>
      </c>
      <c r="S18" s="57">
        <v>0</v>
      </c>
      <c r="T18" s="57"/>
      <c r="U18" s="57"/>
      <c r="V18" s="57">
        <v>1</v>
      </c>
    </row>
    <row r="19" spans="1:22" s="104" customFormat="1" ht="15.75">
      <c r="A19" s="34" t="s">
        <v>13</v>
      </c>
      <c r="B19" s="137" t="s">
        <v>16</v>
      </c>
      <c r="C19" s="44">
        <v>402</v>
      </c>
      <c r="D19" s="244">
        <v>458</v>
      </c>
      <c r="E19" s="42"/>
      <c r="F19" s="42">
        <v>408</v>
      </c>
      <c r="G19" s="44">
        <v>415</v>
      </c>
      <c r="H19" s="44">
        <v>408</v>
      </c>
      <c r="I19" s="44"/>
      <c r="J19" s="249">
        <v>435</v>
      </c>
      <c r="K19" s="44"/>
      <c r="L19" s="44"/>
      <c r="M19" s="44"/>
      <c r="N19" s="44"/>
      <c r="O19" s="281">
        <f t="shared" si="0"/>
        <v>2526</v>
      </c>
      <c r="P19" s="137">
        <v>2</v>
      </c>
      <c r="Q19" s="137">
        <v>6</v>
      </c>
      <c r="R19" s="137">
        <v>-61</v>
      </c>
      <c r="S19" s="137">
        <v>0</v>
      </c>
      <c r="T19" s="137"/>
      <c r="U19" s="137"/>
      <c r="V19" s="137">
        <v>1</v>
      </c>
    </row>
    <row r="20" spans="1:22" s="30" customFormat="1" ht="15.75">
      <c r="A20" s="125" t="s">
        <v>14</v>
      </c>
      <c r="B20" s="123" t="s">
        <v>205</v>
      </c>
      <c r="C20" s="47"/>
      <c r="D20" s="43">
        <v>361</v>
      </c>
      <c r="E20" s="43"/>
      <c r="F20" s="43">
        <v>396</v>
      </c>
      <c r="G20" s="251">
        <v>434</v>
      </c>
      <c r="H20" s="47">
        <v>404</v>
      </c>
      <c r="I20" s="251">
        <v>442</v>
      </c>
      <c r="J20" s="47">
        <v>409</v>
      </c>
      <c r="K20" s="47"/>
      <c r="L20" s="47"/>
      <c r="M20" s="47"/>
      <c r="N20" s="47"/>
      <c r="O20" s="279">
        <f t="shared" si="0"/>
        <v>2446</v>
      </c>
      <c r="P20" s="57">
        <v>2</v>
      </c>
      <c r="Q20" s="57">
        <v>6</v>
      </c>
      <c r="R20" s="57">
        <v>-50</v>
      </c>
      <c r="S20" s="57">
        <v>0</v>
      </c>
      <c r="T20" s="57"/>
      <c r="U20" s="57"/>
      <c r="V20" s="57">
        <v>1</v>
      </c>
    </row>
    <row r="21" spans="1:22" s="23" customFormat="1" ht="15.75">
      <c r="A21" s="222" t="s">
        <v>261</v>
      </c>
      <c r="B21" s="153" t="s">
        <v>21</v>
      </c>
      <c r="C21" s="137">
        <v>400</v>
      </c>
      <c r="D21" s="137"/>
      <c r="E21" s="137"/>
      <c r="F21" s="137">
        <v>395</v>
      </c>
      <c r="G21" s="244">
        <v>428</v>
      </c>
      <c r="H21" s="137">
        <v>409</v>
      </c>
      <c r="I21" s="137">
        <v>407</v>
      </c>
      <c r="J21" s="244">
        <v>428</v>
      </c>
      <c r="K21" s="137"/>
      <c r="L21" s="137"/>
      <c r="M21" s="137"/>
      <c r="N21" s="137"/>
      <c r="O21" s="281">
        <f t="shared" si="0"/>
        <v>2467</v>
      </c>
      <c r="P21" s="137">
        <v>2</v>
      </c>
      <c r="Q21" s="137">
        <v>6</v>
      </c>
      <c r="R21" s="137">
        <v>-109</v>
      </c>
      <c r="S21" s="137">
        <v>0</v>
      </c>
      <c r="T21" s="137"/>
      <c r="U21" s="137"/>
      <c r="V21" s="137">
        <v>1</v>
      </c>
    </row>
    <row r="22" spans="1:22" s="30" customFormat="1" ht="16.5" thickBot="1">
      <c r="A22" s="125" t="s">
        <v>262</v>
      </c>
      <c r="B22" s="123" t="s">
        <v>26</v>
      </c>
      <c r="C22" s="283">
        <v>430</v>
      </c>
      <c r="D22" s="119"/>
      <c r="E22" s="119"/>
      <c r="F22" s="119">
        <v>419</v>
      </c>
      <c r="G22" s="119">
        <v>427</v>
      </c>
      <c r="H22" s="283">
        <v>438</v>
      </c>
      <c r="I22" s="119"/>
      <c r="J22" s="283">
        <v>473</v>
      </c>
      <c r="K22" s="119"/>
      <c r="L22" s="119"/>
      <c r="M22" s="119">
        <v>423</v>
      </c>
      <c r="N22" s="119"/>
      <c r="O22" s="233">
        <f>SUM(C22:N22)</f>
        <v>2610</v>
      </c>
      <c r="P22" s="38">
        <v>5</v>
      </c>
      <c r="Q22" s="38">
        <v>3</v>
      </c>
      <c r="R22" s="41">
        <f>O22-2593</f>
        <v>17</v>
      </c>
      <c r="S22" s="38">
        <v>2</v>
      </c>
      <c r="T22" s="82">
        <v>1</v>
      </c>
      <c r="U22" s="82"/>
      <c r="V22" s="82"/>
    </row>
    <row r="23" spans="3:22" ht="16.5" thickTop="1">
      <c r="C23" s="7">
        <f>SUM(C6:C7)+SUM(C8:C22)</f>
        <v>5360</v>
      </c>
      <c r="D23" s="7">
        <f>SUM(D6:D22)</f>
        <v>4616</v>
      </c>
      <c r="E23" s="7">
        <f>SUM(E6:E22)</f>
        <v>1201</v>
      </c>
      <c r="F23" s="7">
        <f>SUM(F6:F13)+SUM(F16:F17)+SUM(F18:F22)</f>
        <v>4938</v>
      </c>
      <c r="G23" s="7">
        <f>SUM(G6:G22)</f>
        <v>6747</v>
      </c>
      <c r="H23" s="7">
        <f>SUM(H6:H22)</f>
        <v>5659</v>
      </c>
      <c r="I23" s="7">
        <f>SUM(I6:I7)+SUM(I8:I9)+SUM(I10:I22)</f>
        <v>5333</v>
      </c>
      <c r="J23" s="7">
        <f>SUM(J6:J7)+SUM(J8:J9)+SUM(J10:J22)</f>
        <v>2652</v>
      </c>
      <c r="K23" s="7">
        <f>SUM(K6:K7)+SUM(K8:K9)+SUM(K10:K22)</f>
        <v>822</v>
      </c>
      <c r="L23" s="7">
        <f>SUM(L6)+SUM(L8:L9)+SUM(L10:L22)</f>
        <v>1083</v>
      </c>
      <c r="M23" s="7">
        <f>SUM(M6:M22)</f>
        <v>423</v>
      </c>
      <c r="N23" s="7">
        <f>SUM(N6)+SUM(N8:N9)+SUM(N10:N22)</f>
        <v>388</v>
      </c>
      <c r="T23" s="2">
        <f>SUM(T6:T22)</f>
        <v>5</v>
      </c>
      <c r="U23" s="2">
        <f>SUM(U6:U22)</f>
        <v>0</v>
      </c>
      <c r="V23" s="2">
        <f>SUM(V6:V22)</f>
        <v>11</v>
      </c>
    </row>
    <row r="24" spans="2:14" ht="15.75">
      <c r="B24" s="1" t="s">
        <v>225</v>
      </c>
      <c r="C24" s="7">
        <f>COUNT(C6:C7)+COUNT(C8:C22)</f>
        <v>13</v>
      </c>
      <c r="D24" s="7">
        <f>COUNT(D6:D22)</f>
        <v>11</v>
      </c>
      <c r="E24" s="7">
        <f>COUNT(E6:E22)</f>
        <v>3</v>
      </c>
      <c r="F24" s="7">
        <f>COUNT(F7:F17)+COUNT(F18:F21)+COUNT(F22)</f>
        <v>12</v>
      </c>
      <c r="G24" s="7">
        <f>COUNT(G6:G22)</f>
        <v>16</v>
      </c>
      <c r="H24" s="7">
        <f>COUNT(H6:H22)</f>
        <v>14</v>
      </c>
      <c r="I24" s="7">
        <f>COUNT(I6:I7)+COUNT(I8:I9)+COUNT(I10:I22)</f>
        <v>13</v>
      </c>
      <c r="J24" s="7">
        <f>COUNT(J6:J7)+COUNT(J8:J9)+COUNT(J10:J22)</f>
        <v>6</v>
      </c>
      <c r="K24" s="7">
        <f>COUNT(K6:K7)+COUNT(K8:K9)+COUNT(K10:K22)</f>
        <v>2</v>
      </c>
      <c r="L24" s="7">
        <f>COUNT(L6)+COUNT(L8:L9)+COUNT(L10:L22)</f>
        <v>3</v>
      </c>
      <c r="M24" s="7">
        <f>COUNT(M6:M22)</f>
        <v>1</v>
      </c>
      <c r="N24" s="7">
        <f>COUNT(N6)+COUNT(N8:N9)+COUNT(N10:N22)</f>
        <v>1</v>
      </c>
    </row>
    <row r="25" spans="2:22" ht="31.5">
      <c r="B25" s="11" t="s">
        <v>127</v>
      </c>
      <c r="C25" s="17">
        <f>C23/C24</f>
        <v>412.3076923076923</v>
      </c>
      <c r="D25" s="17">
        <f>AVERAGE(D6:D22)</f>
        <v>419.6363636363636</v>
      </c>
      <c r="E25" s="17">
        <f>AVERAGE(E6:E22)</f>
        <v>400.3333333333333</v>
      </c>
      <c r="F25" s="17">
        <f>F23/F24</f>
        <v>411.5</v>
      </c>
      <c r="G25" s="17">
        <f>AVERAGE(G6:G22)</f>
        <v>421.6875</v>
      </c>
      <c r="H25" s="17">
        <f>AVERAGE(H6:H22)</f>
        <v>404.2142857142857</v>
      </c>
      <c r="I25" s="17">
        <f aca="true" t="shared" si="1" ref="I25:N25">I23/I24</f>
        <v>410.2307692307692</v>
      </c>
      <c r="J25" s="17">
        <f t="shared" si="1"/>
        <v>442</v>
      </c>
      <c r="K25" s="17">
        <f t="shared" si="1"/>
        <v>411</v>
      </c>
      <c r="L25" s="17">
        <f t="shared" si="1"/>
        <v>361</v>
      </c>
      <c r="M25" s="17">
        <f t="shared" si="1"/>
        <v>423</v>
      </c>
      <c r="N25" s="17">
        <f t="shared" si="1"/>
        <v>388</v>
      </c>
      <c r="O25" s="3" t="s">
        <v>30</v>
      </c>
      <c r="P25" s="371" t="s">
        <v>115</v>
      </c>
      <c r="Q25" s="371"/>
      <c r="R25" s="3" t="s">
        <v>31</v>
      </c>
      <c r="S25" s="10" t="s">
        <v>116</v>
      </c>
      <c r="U25" s="74" t="s">
        <v>126</v>
      </c>
      <c r="V25" s="74" t="s">
        <v>223</v>
      </c>
    </row>
    <row r="26" spans="15:22" ht="15.75">
      <c r="O26" s="6">
        <f>SUM(O6:O22)</f>
        <v>39574</v>
      </c>
      <c r="P26" s="1">
        <f>SUM(P6:P22)</f>
        <v>52</v>
      </c>
      <c r="Q26" s="1">
        <f>SUM(Q6:Q22)</f>
        <v>76</v>
      </c>
      <c r="R26" s="1">
        <f>SUM(R6:R22)</f>
        <v>-394</v>
      </c>
      <c r="S26" s="1">
        <f>SUM(S6:S22)</f>
        <v>10</v>
      </c>
      <c r="U26" s="2">
        <f>P26-Q26</f>
        <v>-24</v>
      </c>
      <c r="V26" s="2">
        <f>SUM(T23:V23)</f>
        <v>16</v>
      </c>
    </row>
    <row r="27" spans="3:14" ht="15.75">
      <c r="C27" s="377" t="s">
        <v>39</v>
      </c>
      <c r="D27" s="377"/>
      <c r="E27" s="55"/>
      <c r="F27" s="55"/>
      <c r="H27" s="375" t="s">
        <v>132</v>
      </c>
      <c r="I27" s="375"/>
      <c r="J27" s="33"/>
      <c r="K27" s="33"/>
      <c r="M27" s="376" t="s">
        <v>133</v>
      </c>
      <c r="N27" s="376"/>
    </row>
    <row r="28" spans="1:22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226"/>
      <c r="U28" s="226"/>
      <c r="V28" s="226"/>
    </row>
    <row r="29" spans="9:12" ht="15.75">
      <c r="I29" s="15"/>
      <c r="J29" s="15"/>
      <c r="K29" s="15"/>
      <c r="L29" s="15"/>
    </row>
    <row r="30" spans="2:22" ht="39" customHeight="1" thickBot="1">
      <c r="B30" s="5" t="s">
        <v>25</v>
      </c>
      <c r="C30" s="223" t="s">
        <v>282</v>
      </c>
      <c r="D30" s="223" t="s">
        <v>283</v>
      </c>
      <c r="E30" s="261" t="s">
        <v>296</v>
      </c>
      <c r="F30" s="223" t="s">
        <v>284</v>
      </c>
      <c r="G30" s="223" t="s">
        <v>285</v>
      </c>
      <c r="H30" s="223" t="s">
        <v>212</v>
      </c>
      <c r="I30" s="223" t="s">
        <v>286</v>
      </c>
      <c r="J30" s="271" t="s">
        <v>298</v>
      </c>
      <c r="K30" s="261" t="s">
        <v>297</v>
      </c>
      <c r="L30" s="223" t="s">
        <v>289</v>
      </c>
      <c r="M30" s="223" t="s">
        <v>287</v>
      </c>
      <c r="N30" s="223" t="s">
        <v>288</v>
      </c>
      <c r="O30" s="3" t="s">
        <v>30</v>
      </c>
      <c r="P30" s="3" t="s">
        <v>263</v>
      </c>
      <c r="Q30" s="3" t="s">
        <v>29</v>
      </c>
      <c r="R30" s="3" t="s">
        <v>31</v>
      </c>
      <c r="S30" s="10" t="s">
        <v>114</v>
      </c>
      <c r="T30" s="2" t="s">
        <v>184</v>
      </c>
      <c r="U30" s="2" t="s">
        <v>185</v>
      </c>
      <c r="V30" s="2" t="s">
        <v>186</v>
      </c>
    </row>
    <row r="31" spans="1:20" s="114" customFormat="1" ht="15.75">
      <c r="A31" s="26" t="s">
        <v>153</v>
      </c>
      <c r="B31" s="57" t="s">
        <v>15</v>
      </c>
      <c r="C31" s="43">
        <v>385</v>
      </c>
      <c r="D31" s="47"/>
      <c r="E31" s="47"/>
      <c r="F31" s="251">
        <v>429</v>
      </c>
      <c r="G31" s="251">
        <v>443</v>
      </c>
      <c r="H31" s="47">
        <v>425</v>
      </c>
      <c r="I31" s="251">
        <v>441</v>
      </c>
      <c r="J31" s="251">
        <v>469</v>
      </c>
      <c r="K31" s="47"/>
      <c r="L31" s="47"/>
      <c r="M31" s="47"/>
      <c r="N31" s="47"/>
      <c r="O31" s="112">
        <f>SUM(C31:N31)</f>
        <v>2592</v>
      </c>
      <c r="P31" s="110">
        <v>6</v>
      </c>
      <c r="Q31" s="110">
        <v>2</v>
      </c>
      <c r="R31" s="110">
        <f>O31-2519</f>
        <v>73</v>
      </c>
      <c r="S31" s="110">
        <v>2</v>
      </c>
      <c r="T31" s="114">
        <v>1</v>
      </c>
    </row>
    <row r="32" spans="1:19" s="299" customFormat="1" ht="15.75">
      <c r="A32" s="293" t="s">
        <v>154</v>
      </c>
      <c r="B32" s="294" t="s">
        <v>255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297">
        <f aca="true" t="shared" si="2" ref="O32:O47">SUM(C32:N32)</f>
        <v>0</v>
      </c>
      <c r="P32" s="293"/>
      <c r="Q32" s="293"/>
      <c r="R32" s="293"/>
      <c r="S32" s="293"/>
    </row>
    <row r="33" spans="1:20" s="148" customFormat="1" ht="15.75">
      <c r="A33" s="100" t="s">
        <v>155</v>
      </c>
      <c r="B33" s="121" t="s">
        <v>23</v>
      </c>
      <c r="C33" s="291"/>
      <c r="D33" s="291"/>
      <c r="E33" s="291"/>
      <c r="F33" s="319">
        <v>441</v>
      </c>
      <c r="G33" s="319">
        <v>468</v>
      </c>
      <c r="H33" s="291">
        <v>394</v>
      </c>
      <c r="I33" s="319">
        <v>428</v>
      </c>
      <c r="J33" s="319">
        <v>466</v>
      </c>
      <c r="K33" s="291"/>
      <c r="L33" s="291"/>
      <c r="M33" s="319">
        <v>430</v>
      </c>
      <c r="N33" s="291"/>
      <c r="O33" s="147">
        <f t="shared" si="2"/>
        <v>2627</v>
      </c>
      <c r="P33" s="145">
        <v>7</v>
      </c>
      <c r="Q33" s="145">
        <v>1</v>
      </c>
      <c r="R33" s="145">
        <v>261</v>
      </c>
      <c r="S33" s="145">
        <v>2</v>
      </c>
      <c r="T33" s="148">
        <v>1</v>
      </c>
    </row>
    <row r="34" spans="1:22" s="114" customFormat="1" ht="15.75">
      <c r="A34" s="26" t="s">
        <v>156</v>
      </c>
      <c r="B34" s="57" t="s">
        <v>260</v>
      </c>
      <c r="C34" s="117"/>
      <c r="D34" s="117"/>
      <c r="E34" s="117"/>
      <c r="F34" s="117">
        <v>414</v>
      </c>
      <c r="G34" s="117">
        <v>423</v>
      </c>
      <c r="H34" s="320">
        <v>442</v>
      </c>
      <c r="I34" s="117">
        <v>411</v>
      </c>
      <c r="J34" s="117">
        <v>426</v>
      </c>
      <c r="K34" s="117"/>
      <c r="L34" s="117"/>
      <c r="M34" s="117">
        <v>407</v>
      </c>
      <c r="N34" s="117"/>
      <c r="O34" s="112">
        <f t="shared" si="2"/>
        <v>2523</v>
      </c>
      <c r="P34" s="110">
        <v>1</v>
      </c>
      <c r="Q34" s="110">
        <v>7</v>
      </c>
      <c r="R34" s="110">
        <v>-93</v>
      </c>
      <c r="S34" s="110">
        <v>0</v>
      </c>
      <c r="V34" s="114">
        <v>1</v>
      </c>
    </row>
    <row r="35" spans="1:22" s="23" customFormat="1" ht="15.75">
      <c r="A35" s="145" t="s">
        <v>157</v>
      </c>
      <c r="B35" s="153" t="s">
        <v>209</v>
      </c>
      <c r="C35" s="20"/>
      <c r="D35" s="20"/>
      <c r="E35" s="20">
        <v>419</v>
      </c>
      <c r="F35" s="270">
        <v>419</v>
      </c>
      <c r="G35" s="270">
        <v>421</v>
      </c>
      <c r="H35" s="20">
        <v>405</v>
      </c>
      <c r="I35" s="20">
        <v>414</v>
      </c>
      <c r="J35" s="270">
        <v>429</v>
      </c>
      <c r="K35" s="20"/>
      <c r="L35" s="20"/>
      <c r="M35" s="20"/>
      <c r="N35" s="20"/>
      <c r="O35" s="69">
        <f t="shared" si="2"/>
        <v>2507</v>
      </c>
      <c r="P35" s="19">
        <v>3</v>
      </c>
      <c r="Q35" s="19">
        <v>5</v>
      </c>
      <c r="R35" s="19">
        <v>-66</v>
      </c>
      <c r="S35" s="19">
        <v>0</v>
      </c>
      <c r="V35" s="23">
        <v>1</v>
      </c>
    </row>
    <row r="36" spans="1:22" s="114" customFormat="1" ht="15.75">
      <c r="A36" s="26" t="s">
        <v>158</v>
      </c>
      <c r="B36" s="57" t="s">
        <v>16</v>
      </c>
      <c r="C36" s="117">
        <v>419</v>
      </c>
      <c r="D36" s="117"/>
      <c r="E36" s="117"/>
      <c r="F36" s="320">
        <v>456</v>
      </c>
      <c r="G36" s="117">
        <v>413</v>
      </c>
      <c r="H36" s="117"/>
      <c r="I36" s="117">
        <v>428</v>
      </c>
      <c r="J36" s="117">
        <v>424</v>
      </c>
      <c r="K36" s="117"/>
      <c r="L36" s="117"/>
      <c r="M36" s="117">
        <v>407</v>
      </c>
      <c r="N36" s="117"/>
      <c r="O36" s="112">
        <f t="shared" si="2"/>
        <v>2547</v>
      </c>
      <c r="P36" s="110">
        <v>1</v>
      </c>
      <c r="Q36" s="110">
        <v>7</v>
      </c>
      <c r="R36" s="110">
        <v>-125</v>
      </c>
      <c r="S36" s="110">
        <v>0</v>
      </c>
      <c r="V36" s="114">
        <v>1</v>
      </c>
    </row>
    <row r="37" spans="1:20" s="104" customFormat="1" ht="15.75">
      <c r="A37" s="19" t="s">
        <v>159</v>
      </c>
      <c r="B37" s="137" t="s">
        <v>205</v>
      </c>
      <c r="C37" s="105">
        <v>392</v>
      </c>
      <c r="D37" s="105"/>
      <c r="E37" s="105"/>
      <c r="F37" s="324">
        <v>420</v>
      </c>
      <c r="G37" s="105">
        <v>408</v>
      </c>
      <c r="H37" s="105">
        <v>402</v>
      </c>
      <c r="I37" s="324">
        <v>433</v>
      </c>
      <c r="J37" s="324">
        <v>445</v>
      </c>
      <c r="K37" s="105"/>
      <c r="L37" s="105"/>
      <c r="M37" s="105"/>
      <c r="N37" s="105"/>
      <c r="O37" s="102">
        <f t="shared" si="2"/>
        <v>2500</v>
      </c>
      <c r="P37" s="100">
        <v>5</v>
      </c>
      <c r="Q37" s="100">
        <v>3</v>
      </c>
      <c r="R37" s="100">
        <v>31</v>
      </c>
      <c r="S37" s="100">
        <v>2</v>
      </c>
      <c r="T37" s="104">
        <v>1</v>
      </c>
    </row>
    <row r="38" spans="1:20" s="114" customFormat="1" ht="15.75">
      <c r="A38" s="26" t="s">
        <v>160</v>
      </c>
      <c r="B38" s="57" t="s">
        <v>21</v>
      </c>
      <c r="C38" s="117">
        <v>392</v>
      </c>
      <c r="D38" s="117"/>
      <c r="E38" s="117"/>
      <c r="F38" s="320">
        <v>436</v>
      </c>
      <c r="G38" s="320">
        <v>413</v>
      </c>
      <c r="H38" s="117">
        <v>394</v>
      </c>
      <c r="I38" s="320">
        <v>438</v>
      </c>
      <c r="J38" s="320">
        <v>431</v>
      </c>
      <c r="K38" s="117"/>
      <c r="L38" s="117"/>
      <c r="M38" s="117"/>
      <c r="N38" s="117"/>
      <c r="O38" s="112">
        <f t="shared" si="2"/>
        <v>2504</v>
      </c>
      <c r="P38" s="110">
        <v>6</v>
      </c>
      <c r="Q38" s="110">
        <v>2</v>
      </c>
      <c r="R38" s="110">
        <f>O38-2473</f>
        <v>31</v>
      </c>
      <c r="S38" s="110">
        <v>2</v>
      </c>
      <c r="T38" s="114">
        <v>1</v>
      </c>
    </row>
    <row r="39" spans="1:22" s="148" customFormat="1" ht="15.75">
      <c r="A39" s="100" t="s">
        <v>161</v>
      </c>
      <c r="B39" s="121" t="s">
        <v>26</v>
      </c>
      <c r="C39" s="319">
        <v>436</v>
      </c>
      <c r="D39" s="291"/>
      <c r="E39" s="291"/>
      <c r="F39" s="291">
        <v>413</v>
      </c>
      <c r="G39" s="291">
        <v>383</v>
      </c>
      <c r="H39" s="291">
        <v>400</v>
      </c>
      <c r="I39" s="319">
        <v>433</v>
      </c>
      <c r="J39" s="291">
        <v>419</v>
      </c>
      <c r="K39" s="291"/>
      <c r="L39" s="291"/>
      <c r="M39" s="291"/>
      <c r="N39" s="291"/>
      <c r="O39" s="147">
        <f t="shared" si="2"/>
        <v>2484</v>
      </c>
      <c r="P39" s="145">
        <v>2</v>
      </c>
      <c r="Q39" s="145">
        <v>6</v>
      </c>
      <c r="R39" s="145">
        <f>O39-2600</f>
        <v>-116</v>
      </c>
      <c r="S39" s="145">
        <v>0</v>
      </c>
      <c r="V39" s="148">
        <v>1</v>
      </c>
    </row>
    <row r="40" spans="1:22" s="114" customFormat="1" ht="15.75">
      <c r="A40" s="26" t="s">
        <v>162</v>
      </c>
      <c r="B40" s="57" t="s">
        <v>208</v>
      </c>
      <c r="C40" s="117">
        <v>411</v>
      </c>
      <c r="D40" s="117">
        <v>399</v>
      </c>
      <c r="E40" s="117"/>
      <c r="F40" s="320">
        <v>420</v>
      </c>
      <c r="G40" s="320">
        <v>429</v>
      </c>
      <c r="H40" s="117"/>
      <c r="I40" s="117">
        <v>362</v>
      </c>
      <c r="J40" s="320">
        <v>442</v>
      </c>
      <c r="K40" s="117"/>
      <c r="L40" s="117"/>
      <c r="M40" s="117"/>
      <c r="N40" s="117"/>
      <c r="O40" s="112">
        <f t="shared" si="2"/>
        <v>2463</v>
      </c>
      <c r="P40" s="110">
        <v>3</v>
      </c>
      <c r="Q40" s="110">
        <v>5</v>
      </c>
      <c r="R40" s="110">
        <f>O40-2532</f>
        <v>-69</v>
      </c>
      <c r="S40" s="110">
        <v>0</v>
      </c>
      <c r="V40" s="114">
        <v>1</v>
      </c>
    </row>
    <row r="41" spans="1:20" s="23" customFormat="1" ht="15.75">
      <c r="A41" s="145" t="s">
        <v>163</v>
      </c>
      <c r="B41" s="153" t="s">
        <v>211</v>
      </c>
      <c r="C41" s="270">
        <v>425</v>
      </c>
      <c r="D41" s="20">
        <v>410</v>
      </c>
      <c r="E41" s="20"/>
      <c r="F41" s="20"/>
      <c r="G41" s="270">
        <v>434</v>
      </c>
      <c r="H41" s="20">
        <v>396</v>
      </c>
      <c r="I41" s="270">
        <v>457</v>
      </c>
      <c r="J41" s="270">
        <v>456</v>
      </c>
      <c r="K41" s="20"/>
      <c r="L41" s="20"/>
      <c r="M41" s="20"/>
      <c r="N41" s="20"/>
      <c r="O41" s="69">
        <f t="shared" si="2"/>
        <v>2578</v>
      </c>
      <c r="P41" s="19">
        <v>6</v>
      </c>
      <c r="Q41" s="19">
        <v>2</v>
      </c>
      <c r="R41" s="19">
        <f>O41-2451</f>
        <v>127</v>
      </c>
      <c r="S41" s="19">
        <v>2</v>
      </c>
      <c r="T41" s="23">
        <v>1</v>
      </c>
    </row>
    <row r="42" spans="1:20" s="114" customFormat="1" ht="15.75">
      <c r="A42" s="26" t="s">
        <v>164</v>
      </c>
      <c r="B42" s="57" t="s">
        <v>20</v>
      </c>
      <c r="C42" s="117">
        <v>380</v>
      </c>
      <c r="D42" s="117">
        <v>387</v>
      </c>
      <c r="E42" s="117"/>
      <c r="F42" s="117">
        <v>400</v>
      </c>
      <c r="G42" s="320">
        <v>469</v>
      </c>
      <c r="H42" s="117"/>
      <c r="I42" s="320">
        <v>420</v>
      </c>
      <c r="J42" s="320">
        <v>477</v>
      </c>
      <c r="K42" s="117"/>
      <c r="L42" s="117"/>
      <c r="M42" s="117"/>
      <c r="N42" s="117"/>
      <c r="O42" s="112">
        <f t="shared" si="2"/>
        <v>2533</v>
      </c>
      <c r="P42" s="110">
        <v>5</v>
      </c>
      <c r="Q42" s="110">
        <v>3</v>
      </c>
      <c r="R42" s="110">
        <v>26</v>
      </c>
      <c r="S42" s="110">
        <v>2</v>
      </c>
      <c r="T42" s="114">
        <v>1</v>
      </c>
    </row>
    <row r="43" spans="1:20" s="104" customFormat="1" ht="15.75">
      <c r="A43" s="19" t="s">
        <v>165</v>
      </c>
      <c r="B43" s="137" t="s">
        <v>22</v>
      </c>
      <c r="C43" s="105"/>
      <c r="D43" s="324">
        <v>428</v>
      </c>
      <c r="E43" s="105"/>
      <c r="F43" s="105">
        <v>406</v>
      </c>
      <c r="G43" s="324">
        <v>426</v>
      </c>
      <c r="H43" s="105">
        <v>375</v>
      </c>
      <c r="I43" s="324">
        <v>425</v>
      </c>
      <c r="J43" s="324">
        <v>438</v>
      </c>
      <c r="K43" s="105"/>
      <c r="L43" s="105"/>
      <c r="M43" s="105"/>
      <c r="N43" s="105"/>
      <c r="O43" s="102">
        <f t="shared" si="2"/>
        <v>2498</v>
      </c>
      <c r="P43" s="100">
        <v>6</v>
      </c>
      <c r="Q43" s="100">
        <v>2</v>
      </c>
      <c r="R43" s="100">
        <v>135</v>
      </c>
      <c r="S43" s="100">
        <v>2</v>
      </c>
      <c r="T43" s="104">
        <v>1</v>
      </c>
    </row>
    <row r="44" spans="1:20" s="114" customFormat="1" ht="15.75">
      <c r="A44" s="26" t="s">
        <v>265</v>
      </c>
      <c r="B44" s="57" t="s">
        <v>196</v>
      </c>
      <c r="C44" s="117">
        <v>408</v>
      </c>
      <c r="D44" s="320">
        <v>454</v>
      </c>
      <c r="E44" s="117"/>
      <c r="F44" s="320">
        <v>424</v>
      </c>
      <c r="G44" s="117">
        <v>400</v>
      </c>
      <c r="H44" s="117"/>
      <c r="I44" s="320">
        <v>441</v>
      </c>
      <c r="J44" s="320">
        <v>441</v>
      </c>
      <c r="K44" s="117"/>
      <c r="L44" s="117"/>
      <c r="M44" s="117"/>
      <c r="N44" s="117"/>
      <c r="O44" s="112">
        <f t="shared" si="2"/>
        <v>2568</v>
      </c>
      <c r="P44" s="110">
        <v>6</v>
      </c>
      <c r="Q44" s="110">
        <v>2</v>
      </c>
      <c r="R44" s="110">
        <v>162</v>
      </c>
      <c r="S44" s="110">
        <v>2</v>
      </c>
      <c r="T44" s="114">
        <v>1</v>
      </c>
    </row>
    <row r="45" spans="1:20" s="148" customFormat="1" ht="15.75">
      <c r="A45" s="100" t="s">
        <v>266</v>
      </c>
      <c r="B45" s="121" t="s">
        <v>19</v>
      </c>
      <c r="C45" s="319">
        <v>448</v>
      </c>
      <c r="D45" s="291">
        <v>431</v>
      </c>
      <c r="E45" s="291"/>
      <c r="F45" s="319">
        <v>442</v>
      </c>
      <c r="G45" s="319">
        <v>445</v>
      </c>
      <c r="H45" s="291"/>
      <c r="I45" s="291">
        <v>416</v>
      </c>
      <c r="J45" s="343">
        <v>457</v>
      </c>
      <c r="K45" s="291"/>
      <c r="L45" s="291"/>
      <c r="M45" s="291"/>
      <c r="N45" s="291"/>
      <c r="O45" s="147">
        <f t="shared" si="2"/>
        <v>2639</v>
      </c>
      <c r="P45" s="145">
        <v>6</v>
      </c>
      <c r="Q45" s="145">
        <v>2</v>
      </c>
      <c r="R45" s="145">
        <f>O45-2528</f>
        <v>111</v>
      </c>
      <c r="S45" s="145">
        <v>2</v>
      </c>
      <c r="T45" s="148">
        <v>1</v>
      </c>
    </row>
    <row r="46" spans="1:22" s="114" customFormat="1" ht="15.75">
      <c r="A46" s="26" t="s">
        <v>303</v>
      </c>
      <c r="B46" s="57" t="s">
        <v>24</v>
      </c>
      <c r="C46" s="117"/>
      <c r="D46" s="117">
        <v>403</v>
      </c>
      <c r="E46" s="117"/>
      <c r="F46" s="117">
        <v>422</v>
      </c>
      <c r="G46" s="117">
        <v>389</v>
      </c>
      <c r="H46" s="117">
        <v>405</v>
      </c>
      <c r="I46" s="344">
        <v>431</v>
      </c>
      <c r="J46" s="117">
        <v>414</v>
      </c>
      <c r="K46" s="117"/>
      <c r="L46" s="117"/>
      <c r="M46" s="117"/>
      <c r="N46" s="117"/>
      <c r="O46" s="112">
        <f t="shared" si="2"/>
        <v>2464</v>
      </c>
      <c r="P46" s="110">
        <v>1</v>
      </c>
      <c r="Q46" s="110">
        <v>7</v>
      </c>
      <c r="R46" s="110">
        <v>-145</v>
      </c>
      <c r="S46" s="110">
        <v>0</v>
      </c>
      <c r="V46" s="114">
        <v>1</v>
      </c>
    </row>
    <row r="47" spans="1:22" s="104" customFormat="1" ht="16.5" thickBot="1">
      <c r="A47" s="19" t="s">
        <v>304</v>
      </c>
      <c r="B47" s="137" t="s">
        <v>17</v>
      </c>
      <c r="C47" s="106">
        <v>407</v>
      </c>
      <c r="D47" s="366">
        <v>435</v>
      </c>
      <c r="E47" s="106"/>
      <c r="F47" s="366">
        <v>425</v>
      </c>
      <c r="G47" s="366">
        <v>188</v>
      </c>
      <c r="H47" s="366">
        <v>232</v>
      </c>
      <c r="I47" s="366">
        <v>459</v>
      </c>
      <c r="J47" s="106">
        <v>418</v>
      </c>
      <c r="K47" s="106"/>
      <c r="L47" s="106"/>
      <c r="M47" s="106"/>
      <c r="N47" s="106"/>
      <c r="O47" s="102">
        <f t="shared" si="2"/>
        <v>2564</v>
      </c>
      <c r="P47" s="107">
        <v>6</v>
      </c>
      <c r="Q47" s="107">
        <v>2</v>
      </c>
      <c r="R47" s="107">
        <f>O47-2492</f>
        <v>72</v>
      </c>
      <c r="S47" s="107">
        <v>2</v>
      </c>
      <c r="T47" s="127">
        <v>1</v>
      </c>
      <c r="U47" s="127"/>
      <c r="V47" s="127"/>
    </row>
    <row r="48" spans="3:22" ht="16.5" thickTop="1">
      <c r="C48" s="70">
        <f aca="true" t="shared" si="3" ref="C48:N48">SUM(C31:C47)</f>
        <v>4503</v>
      </c>
      <c r="D48" s="70">
        <f t="shared" si="3"/>
        <v>3347</v>
      </c>
      <c r="E48" s="70">
        <f t="shared" si="3"/>
        <v>419</v>
      </c>
      <c r="F48" s="70">
        <f>SUM(F31:F47)</f>
        <v>6367</v>
      </c>
      <c r="G48" s="70">
        <f>SUM(G31:G46)</f>
        <v>6364</v>
      </c>
      <c r="H48" s="70">
        <f>SUM(H31:H46)</f>
        <v>4038</v>
      </c>
      <c r="I48" s="70">
        <f t="shared" si="3"/>
        <v>6837</v>
      </c>
      <c r="J48" s="70">
        <f t="shared" si="3"/>
        <v>7052</v>
      </c>
      <c r="K48" s="70">
        <f t="shared" si="3"/>
        <v>0</v>
      </c>
      <c r="L48" s="70">
        <f t="shared" si="3"/>
        <v>0</v>
      </c>
      <c r="M48" s="70">
        <f t="shared" si="3"/>
        <v>1244</v>
      </c>
      <c r="N48" s="70">
        <f t="shared" si="3"/>
        <v>0</v>
      </c>
      <c r="P48" s="1">
        <f>SUM(P31:P47)</f>
        <v>70</v>
      </c>
      <c r="Q48" s="1">
        <f>SUM(Q31:Q47)</f>
        <v>58</v>
      </c>
      <c r="R48" s="1">
        <f>SUM(R31:R47)</f>
        <v>415</v>
      </c>
      <c r="S48" s="1">
        <f>SUM(S31:S47)</f>
        <v>20</v>
      </c>
      <c r="T48" s="1">
        <f>SUM(T31:T47)+T23</f>
        <v>15</v>
      </c>
      <c r="U48" s="1">
        <f>SUM(U31:U47)+U23</f>
        <v>0</v>
      </c>
      <c r="V48" s="1">
        <f>SUM(V31:V47)+V23</f>
        <v>17</v>
      </c>
    </row>
    <row r="49" spans="2:14" ht="31.5">
      <c r="B49" s="132" t="s">
        <v>250</v>
      </c>
      <c r="C49" s="4">
        <f>COUNT(C31:C47)</f>
        <v>11</v>
      </c>
      <c r="D49" s="4">
        <f aca="true" t="shared" si="4" ref="D49:N49">COUNT(D31:D47)</f>
        <v>8</v>
      </c>
      <c r="E49" s="4">
        <f t="shared" si="4"/>
        <v>1</v>
      </c>
      <c r="F49" s="4">
        <f t="shared" si="4"/>
        <v>15</v>
      </c>
      <c r="G49" s="4">
        <f>COUNT(G31:G46)</f>
        <v>15</v>
      </c>
      <c r="H49" s="4">
        <f>COUNT(H31:H46)</f>
        <v>10</v>
      </c>
      <c r="I49" s="4">
        <f t="shared" si="4"/>
        <v>16</v>
      </c>
      <c r="J49" s="4">
        <f t="shared" si="4"/>
        <v>16</v>
      </c>
      <c r="K49" s="4">
        <f t="shared" si="4"/>
        <v>0</v>
      </c>
      <c r="L49" s="4">
        <f t="shared" si="4"/>
        <v>0</v>
      </c>
      <c r="M49" s="4">
        <f t="shared" si="4"/>
        <v>3</v>
      </c>
      <c r="N49" s="4">
        <f t="shared" si="4"/>
        <v>0</v>
      </c>
    </row>
    <row r="50" spans="2:22" ht="31.5">
      <c r="B50" s="11" t="s">
        <v>249</v>
      </c>
      <c r="C50" s="17">
        <f>C48/C49</f>
        <v>409.3636363636364</v>
      </c>
      <c r="D50" s="17">
        <f>D48/D49</f>
        <v>418.375</v>
      </c>
      <c r="E50" s="17">
        <f aca="true" t="shared" si="5" ref="E50:M50">E48/E49</f>
        <v>419</v>
      </c>
      <c r="F50" s="17">
        <f t="shared" si="5"/>
        <v>424.46666666666664</v>
      </c>
      <c r="G50" s="17">
        <f t="shared" si="5"/>
        <v>424.26666666666665</v>
      </c>
      <c r="H50" s="17">
        <f t="shared" si="5"/>
        <v>403.8</v>
      </c>
      <c r="I50" s="17">
        <f t="shared" si="5"/>
        <v>427.3125</v>
      </c>
      <c r="J50" s="17">
        <f t="shared" si="5"/>
        <v>440.75</v>
      </c>
      <c r="K50" s="17"/>
      <c r="L50" s="17"/>
      <c r="M50" s="17">
        <f t="shared" si="5"/>
        <v>414.6666666666667</v>
      </c>
      <c r="N50" s="17"/>
      <c r="O50" s="3" t="s">
        <v>30</v>
      </c>
      <c r="P50" s="371" t="s">
        <v>115</v>
      </c>
      <c r="Q50" s="371"/>
      <c r="R50" s="3" t="s">
        <v>31</v>
      </c>
      <c r="S50" s="10" t="s">
        <v>116</v>
      </c>
      <c r="U50" s="74" t="s">
        <v>126</v>
      </c>
      <c r="V50" s="74" t="s">
        <v>223</v>
      </c>
    </row>
    <row r="51" spans="15:22" ht="15.75">
      <c r="O51" s="6">
        <f>SUM(O31:O47)+O26</f>
        <v>80165</v>
      </c>
      <c r="P51" s="6">
        <f>SUM(P31:P47)</f>
        <v>70</v>
      </c>
      <c r="Q51" s="6">
        <f>SUM(Q31:Q47)</f>
        <v>58</v>
      </c>
      <c r="R51" s="6">
        <f>SUM(R31:R47)+R26</f>
        <v>21</v>
      </c>
      <c r="S51" s="6">
        <f>SUM(S31:S47)+S26</f>
        <v>30</v>
      </c>
      <c r="U51" s="2">
        <f>P51-Q51</f>
        <v>12</v>
      </c>
      <c r="V51" s="2">
        <f>SUM(T48:V48)</f>
        <v>32</v>
      </c>
    </row>
    <row r="53" spans="15:16" ht="15.75">
      <c r="O53" s="1" t="s">
        <v>128</v>
      </c>
      <c r="P53" s="18">
        <f>O51/V51</f>
        <v>2505.15625</v>
      </c>
    </row>
  </sheetData>
  <sheetProtection/>
  <mergeCells count="9">
    <mergeCell ref="P50:Q50"/>
    <mergeCell ref="M27:N27"/>
    <mergeCell ref="G1:I1"/>
    <mergeCell ref="M1:N1"/>
    <mergeCell ref="C4:N4"/>
    <mergeCell ref="P4:Q4"/>
    <mergeCell ref="C27:D27"/>
    <mergeCell ref="P25:Q25"/>
    <mergeCell ref="H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selection activeCell="E167" sqref="B2:E167"/>
    </sheetView>
  </sheetViews>
  <sheetFormatPr defaultColWidth="9.00390625" defaultRowHeight="12.75"/>
  <cols>
    <col min="1" max="1" width="12.125" style="2" bestFit="1" customWidth="1"/>
    <col min="2" max="2" width="28.25390625" style="0" customWidth="1"/>
    <col min="3" max="3" width="25.125" style="0" bestFit="1" customWidth="1"/>
    <col min="4" max="4" width="15.875" style="2" customWidth="1"/>
  </cols>
  <sheetData>
    <row r="1" spans="1:4" ht="37.5">
      <c r="A1" s="130" t="s">
        <v>310</v>
      </c>
      <c r="B1" s="130" t="s">
        <v>230</v>
      </c>
      <c r="C1" s="130" t="s">
        <v>231</v>
      </c>
      <c r="D1" s="131" t="s">
        <v>247</v>
      </c>
    </row>
    <row r="2" spans="1:8" ht="18.75">
      <c r="A2" s="133">
        <v>1</v>
      </c>
      <c r="B2" s="140" t="s">
        <v>38</v>
      </c>
      <c r="C2" s="140" t="s">
        <v>264</v>
      </c>
      <c r="D2" s="134">
        <f>'Amazonok és Titánok'!D50</f>
        <v>461.45454545454544</v>
      </c>
      <c r="E2" s="94" t="s">
        <v>300</v>
      </c>
      <c r="H2" s="94" t="s">
        <v>252</v>
      </c>
    </row>
    <row r="3" spans="1:8" ht="18.75">
      <c r="A3" s="133">
        <f aca="true" t="shared" si="0" ref="A3:A34">A2+1</f>
        <v>2</v>
      </c>
      <c r="B3" s="140" t="s">
        <v>91</v>
      </c>
      <c r="C3" s="140" t="s">
        <v>260</v>
      </c>
      <c r="D3" s="134">
        <f>Gumigyár!D50</f>
        <v>459.4375</v>
      </c>
      <c r="E3" s="94" t="s">
        <v>300</v>
      </c>
      <c r="H3" s="124" t="s">
        <v>253</v>
      </c>
    </row>
    <row r="4" spans="1:5" ht="18.75">
      <c r="A4" s="133">
        <f t="shared" si="0"/>
        <v>3</v>
      </c>
      <c r="B4" s="140" t="s">
        <v>37</v>
      </c>
      <c r="C4" s="140" t="s">
        <v>264</v>
      </c>
      <c r="D4" s="134">
        <f>'Amazonok és Titánok'!C50</f>
        <v>452.375</v>
      </c>
      <c r="E4" s="94" t="s">
        <v>300</v>
      </c>
    </row>
    <row r="5" spans="1:8" ht="18.75">
      <c r="A5" s="133">
        <f t="shared" si="0"/>
        <v>4</v>
      </c>
      <c r="B5" s="141" t="s">
        <v>257</v>
      </c>
      <c r="C5" s="141" t="s">
        <v>17</v>
      </c>
      <c r="D5" s="134">
        <f>Privát!J50</f>
        <v>451.5</v>
      </c>
      <c r="E5" s="94" t="s">
        <v>300</v>
      </c>
      <c r="G5" s="132"/>
      <c r="H5" s="253"/>
    </row>
    <row r="6" spans="1:5" ht="18.75">
      <c r="A6" s="133">
        <f t="shared" si="0"/>
        <v>5</v>
      </c>
      <c r="B6" s="140" t="s">
        <v>131</v>
      </c>
      <c r="C6" s="140" t="s">
        <v>26</v>
      </c>
      <c r="D6" s="134">
        <f>Kinizsi!J50</f>
        <v>451.07142857142856</v>
      </c>
      <c r="E6" t="s">
        <v>301</v>
      </c>
    </row>
    <row r="7" spans="1:5" ht="18.75">
      <c r="A7" s="133">
        <f t="shared" si="0"/>
        <v>6</v>
      </c>
      <c r="B7" s="141" t="s">
        <v>258</v>
      </c>
      <c r="C7" s="141" t="s">
        <v>229</v>
      </c>
      <c r="D7" s="134">
        <f>GLB!G51</f>
        <v>445.8666666666667</v>
      </c>
      <c r="E7" t="s">
        <v>301</v>
      </c>
    </row>
    <row r="8" spans="1:5" ht="18.75">
      <c r="A8" s="133">
        <f t="shared" si="0"/>
        <v>7</v>
      </c>
      <c r="B8" s="140" t="s">
        <v>42</v>
      </c>
      <c r="C8" s="140" t="s">
        <v>26</v>
      </c>
      <c r="D8" s="134">
        <f>Kinizsi!E50</f>
        <v>444.92857142857144</v>
      </c>
      <c r="E8" t="s">
        <v>301</v>
      </c>
    </row>
    <row r="9" spans="1:5" ht="18.75">
      <c r="A9" s="133">
        <f t="shared" si="0"/>
        <v>8</v>
      </c>
      <c r="B9" s="140" t="s">
        <v>269</v>
      </c>
      <c r="C9" s="140" t="s">
        <v>207</v>
      </c>
      <c r="D9" s="134">
        <f>Kalmár!M50</f>
        <v>443.92857142857144</v>
      </c>
      <c r="E9" t="s">
        <v>301</v>
      </c>
    </row>
    <row r="10" spans="1:5" ht="18.75">
      <c r="A10" s="133">
        <f t="shared" si="0"/>
        <v>9</v>
      </c>
      <c r="B10" s="140" t="s">
        <v>77</v>
      </c>
      <c r="C10" s="140" t="s">
        <v>205</v>
      </c>
      <c r="D10" s="134">
        <f>'Temesvári Hús'!F51</f>
        <v>443.15384615384613</v>
      </c>
      <c r="E10" t="s">
        <v>301</v>
      </c>
    </row>
    <row r="11" spans="1:5" ht="18.75">
      <c r="A11" s="133">
        <f t="shared" si="0"/>
        <v>10</v>
      </c>
      <c r="B11" s="140" t="s">
        <v>201</v>
      </c>
      <c r="C11" s="140" t="s">
        <v>211</v>
      </c>
      <c r="D11" s="134">
        <f>'Fa-Team'!J51</f>
        <v>442.0769230769231</v>
      </c>
      <c r="E11" t="s">
        <v>301</v>
      </c>
    </row>
    <row r="12" spans="1:5" ht="18.75">
      <c r="A12" s="133">
        <f t="shared" si="0"/>
        <v>11</v>
      </c>
      <c r="B12" s="274" t="s">
        <v>298</v>
      </c>
      <c r="C12" s="272" t="s">
        <v>263</v>
      </c>
      <c r="D12" s="273">
        <f>'Vörös Ördögök'!J50</f>
        <v>440.75</v>
      </c>
      <c r="E12" t="s">
        <v>301</v>
      </c>
    </row>
    <row r="13" spans="1:5" ht="18.75">
      <c r="A13" s="133">
        <f t="shared" si="0"/>
        <v>12</v>
      </c>
      <c r="B13" s="140" t="s">
        <v>44</v>
      </c>
      <c r="C13" s="140" t="s">
        <v>26</v>
      </c>
      <c r="D13" s="134">
        <f>Kinizsi!G50</f>
        <v>439.9230769230769</v>
      </c>
      <c r="E13" t="s">
        <v>301</v>
      </c>
    </row>
    <row r="14" spans="1:5" ht="18.75">
      <c r="A14" s="133">
        <f t="shared" si="0"/>
        <v>13</v>
      </c>
      <c r="B14" s="141" t="s">
        <v>256</v>
      </c>
      <c r="C14" s="140" t="s">
        <v>207</v>
      </c>
      <c r="D14" s="134">
        <f>Kalmár!E50</f>
        <v>439.875</v>
      </c>
      <c r="E14" t="s">
        <v>300</v>
      </c>
    </row>
    <row r="15" spans="1:5" ht="18.75">
      <c r="A15" s="133">
        <f t="shared" si="0"/>
        <v>14</v>
      </c>
      <c r="B15" s="140" t="s">
        <v>137</v>
      </c>
      <c r="C15" s="140" t="s">
        <v>228</v>
      </c>
      <c r="D15" s="134">
        <f>'Anro ker'!J51</f>
        <v>439.4375</v>
      </c>
      <c r="E15" t="s">
        <v>301</v>
      </c>
    </row>
    <row r="16" spans="1:5" ht="18.75">
      <c r="A16" s="133">
        <f t="shared" si="0"/>
        <v>15</v>
      </c>
      <c r="B16" s="140" t="s">
        <v>134</v>
      </c>
      <c r="C16" s="140" t="s">
        <v>211</v>
      </c>
      <c r="D16" s="134">
        <f>'Fa-Team'!K51</f>
        <v>438.3333333333333</v>
      </c>
      <c r="E16" t="s">
        <v>301</v>
      </c>
    </row>
    <row r="17" spans="1:5" ht="18.75">
      <c r="A17" s="133">
        <f t="shared" si="0"/>
        <v>16</v>
      </c>
      <c r="B17" s="140" t="s">
        <v>219</v>
      </c>
      <c r="C17" s="140" t="s">
        <v>226</v>
      </c>
      <c r="D17" s="134">
        <f>Santé!K50</f>
        <v>436.5</v>
      </c>
      <c r="E17" t="s">
        <v>301</v>
      </c>
    </row>
    <row r="18" spans="1:5" ht="18.75">
      <c r="A18" s="133">
        <f t="shared" si="0"/>
        <v>17</v>
      </c>
      <c r="B18" s="140" t="s">
        <v>45</v>
      </c>
      <c r="C18" s="140" t="s">
        <v>26</v>
      </c>
      <c r="D18" s="134">
        <f>Kinizsi!H50</f>
        <v>436.3333333333333</v>
      </c>
      <c r="E18" t="s">
        <v>301</v>
      </c>
    </row>
    <row r="19" spans="1:8" ht="18.75">
      <c r="A19" s="133">
        <f t="shared" si="0"/>
        <v>18</v>
      </c>
      <c r="B19" s="140" t="s">
        <v>40</v>
      </c>
      <c r="C19" s="140" t="s">
        <v>26</v>
      </c>
      <c r="D19" s="134">
        <f>Kinizsi!C50</f>
        <v>435.54545454545456</v>
      </c>
      <c r="E19" t="s">
        <v>301</v>
      </c>
      <c r="G19" s="132"/>
      <c r="H19" s="253"/>
    </row>
    <row r="20" spans="1:9" ht="18.75">
      <c r="A20" s="133">
        <f t="shared" si="0"/>
        <v>19</v>
      </c>
      <c r="B20" s="140" t="s">
        <v>109</v>
      </c>
      <c r="C20" s="140" t="s">
        <v>207</v>
      </c>
      <c r="D20" s="134">
        <f>Kalmár!I50</f>
        <v>434.5</v>
      </c>
      <c r="E20" t="s">
        <v>301</v>
      </c>
      <c r="I20" s="253"/>
    </row>
    <row r="21" spans="1:9" ht="18.75">
      <c r="A21" s="133">
        <f t="shared" si="0"/>
        <v>20</v>
      </c>
      <c r="B21" s="140" t="s">
        <v>71</v>
      </c>
      <c r="C21" s="140" t="s">
        <v>226</v>
      </c>
      <c r="D21" s="134">
        <f>Santé!C50</f>
        <v>434</v>
      </c>
      <c r="E21" t="s">
        <v>301</v>
      </c>
      <c r="I21" s="253"/>
    </row>
    <row r="22" spans="1:9" ht="18.75">
      <c r="A22" s="133">
        <f t="shared" si="0"/>
        <v>21</v>
      </c>
      <c r="B22" s="140" t="s">
        <v>107</v>
      </c>
      <c r="C22" s="140" t="s">
        <v>207</v>
      </c>
      <c r="D22" s="134">
        <f>Kalmár!F50</f>
        <v>433.6666666666667</v>
      </c>
      <c r="E22" t="s">
        <v>301</v>
      </c>
      <c r="I22" s="253"/>
    </row>
    <row r="23" spans="1:9" ht="18.75">
      <c r="A23" s="133">
        <f t="shared" si="0"/>
        <v>22</v>
      </c>
      <c r="B23" s="140" t="s">
        <v>41</v>
      </c>
      <c r="C23" s="140" t="s">
        <v>26</v>
      </c>
      <c r="D23" s="134">
        <f>Kinizsi!D50</f>
        <v>433.06666666666666</v>
      </c>
      <c r="E23" t="s">
        <v>301</v>
      </c>
      <c r="I23" s="253"/>
    </row>
    <row r="24" spans="1:9" ht="18.75">
      <c r="A24" s="133">
        <f t="shared" si="0"/>
        <v>23</v>
      </c>
      <c r="B24" s="140" t="s">
        <v>73</v>
      </c>
      <c r="C24" s="140" t="s">
        <v>226</v>
      </c>
      <c r="D24" s="134">
        <f>Santé!E50</f>
        <v>432.22222222222223</v>
      </c>
      <c r="E24" s="94" t="s">
        <v>300</v>
      </c>
      <c r="I24" s="253"/>
    </row>
    <row r="25" spans="1:9" ht="18.75">
      <c r="A25" s="133">
        <f t="shared" si="0"/>
        <v>24</v>
      </c>
      <c r="B25" s="140" t="s">
        <v>64</v>
      </c>
      <c r="C25" s="140" t="s">
        <v>20</v>
      </c>
      <c r="D25" s="134">
        <f>Szefo!C50</f>
        <v>431.8125</v>
      </c>
      <c r="E25" s="94" t="s">
        <v>301</v>
      </c>
      <c r="I25" s="253"/>
    </row>
    <row r="26" spans="1:9" ht="18.75">
      <c r="A26" s="133">
        <f t="shared" si="0"/>
        <v>25</v>
      </c>
      <c r="B26" s="140" t="s">
        <v>90</v>
      </c>
      <c r="C26" s="140" t="s">
        <v>260</v>
      </c>
      <c r="D26" s="134">
        <f>Gumigyár!C50</f>
        <v>431.4</v>
      </c>
      <c r="E26" t="s">
        <v>301</v>
      </c>
      <c r="I26" s="253"/>
    </row>
    <row r="27" spans="1:9" ht="18.75">
      <c r="A27" s="133">
        <f t="shared" si="0"/>
        <v>26</v>
      </c>
      <c r="B27" s="140" t="s">
        <v>130</v>
      </c>
      <c r="C27" s="140" t="s">
        <v>15</v>
      </c>
      <c r="D27" s="134">
        <f>Tápé!I51</f>
        <v>431.1875</v>
      </c>
      <c r="E27" t="s">
        <v>301</v>
      </c>
      <c r="I27" s="253"/>
    </row>
    <row r="28" spans="1:9" ht="18.75">
      <c r="A28" s="133">
        <f t="shared" si="0"/>
        <v>27</v>
      </c>
      <c r="B28" s="140" t="s">
        <v>181</v>
      </c>
      <c r="C28" s="140" t="s">
        <v>207</v>
      </c>
      <c r="D28" s="134">
        <f>Kalmár!K50</f>
        <v>430.8333333333333</v>
      </c>
      <c r="E28" t="s">
        <v>301</v>
      </c>
      <c r="I28" s="253"/>
    </row>
    <row r="29" spans="1:9" ht="18.75">
      <c r="A29" s="133">
        <f t="shared" si="0"/>
        <v>28</v>
      </c>
      <c r="B29" s="140" t="s">
        <v>220</v>
      </c>
      <c r="C29" s="140" t="s">
        <v>207</v>
      </c>
      <c r="D29" s="134">
        <f>Kalmár!L50</f>
        <v>430.1666666666667</v>
      </c>
      <c r="E29" s="94" t="s">
        <v>301</v>
      </c>
      <c r="I29" s="253"/>
    </row>
    <row r="30" spans="1:9" ht="18.75">
      <c r="A30" s="133">
        <f t="shared" si="0"/>
        <v>29</v>
      </c>
      <c r="B30" s="140" t="s">
        <v>84</v>
      </c>
      <c r="C30" s="140" t="s">
        <v>228</v>
      </c>
      <c r="D30" s="134">
        <f>'Anro ker'!G51</f>
        <v>429.2</v>
      </c>
      <c r="E30" t="s">
        <v>301</v>
      </c>
      <c r="I30" s="253"/>
    </row>
    <row r="31" spans="1:5" ht="18.75">
      <c r="A31" s="133">
        <f t="shared" si="0"/>
        <v>30</v>
      </c>
      <c r="B31" s="140" t="s">
        <v>96</v>
      </c>
      <c r="C31" s="140" t="s">
        <v>264</v>
      </c>
      <c r="D31" s="134">
        <f>'Amazonok és Titánok'!H50</f>
        <v>429</v>
      </c>
      <c r="E31" t="s">
        <v>301</v>
      </c>
    </row>
    <row r="32" spans="1:5" ht="18.75">
      <c r="A32" s="133">
        <f t="shared" si="0"/>
        <v>31</v>
      </c>
      <c r="B32" s="140" t="s">
        <v>49</v>
      </c>
      <c r="C32" s="140" t="s">
        <v>15</v>
      </c>
      <c r="D32" s="134">
        <f>Tápé!H51</f>
        <v>428.42857142857144</v>
      </c>
      <c r="E32" t="s">
        <v>301</v>
      </c>
    </row>
    <row r="33" spans="1:5" ht="18.75">
      <c r="A33" s="133">
        <f t="shared" si="0"/>
        <v>32</v>
      </c>
      <c r="B33" s="140" t="s">
        <v>105</v>
      </c>
      <c r="C33" s="140" t="s">
        <v>207</v>
      </c>
      <c r="D33" s="134">
        <f>Kalmár!H50</f>
        <v>428.1333333333333</v>
      </c>
      <c r="E33" t="s">
        <v>301</v>
      </c>
    </row>
    <row r="34" spans="1:5" ht="18.75">
      <c r="A34" s="133">
        <f t="shared" si="0"/>
        <v>33</v>
      </c>
      <c r="B34" s="140" t="s">
        <v>106</v>
      </c>
      <c r="C34" s="140" t="s">
        <v>207</v>
      </c>
      <c r="D34" s="134">
        <f>Kalmár!D50</f>
        <v>427.85714285714283</v>
      </c>
      <c r="E34" t="s">
        <v>301</v>
      </c>
    </row>
    <row r="35" spans="1:5" ht="18.75">
      <c r="A35" s="133">
        <f aca="true" t="shared" si="1" ref="A35:A66">A34+1</f>
        <v>34</v>
      </c>
      <c r="B35" s="140" t="s">
        <v>101</v>
      </c>
      <c r="C35" s="140" t="s">
        <v>226</v>
      </c>
      <c r="D35" s="134">
        <f>Santé!I50</f>
        <v>427.75</v>
      </c>
      <c r="E35" t="s">
        <v>301</v>
      </c>
    </row>
    <row r="36" spans="1:5" ht="18.75">
      <c r="A36" s="133">
        <f t="shared" si="1"/>
        <v>35</v>
      </c>
      <c r="B36" s="140" t="s">
        <v>56</v>
      </c>
      <c r="C36" s="140" t="s">
        <v>21</v>
      </c>
      <c r="D36" s="134">
        <f>'Dél Akku'!E50</f>
        <v>427.6666666666667</v>
      </c>
      <c r="E36" t="s">
        <v>301</v>
      </c>
    </row>
    <row r="37" spans="1:5" ht="18.75">
      <c r="A37" s="133">
        <f t="shared" si="1"/>
        <v>36</v>
      </c>
      <c r="B37" s="259" t="s">
        <v>286</v>
      </c>
      <c r="C37" s="133" t="s">
        <v>263</v>
      </c>
      <c r="D37" s="273">
        <f>'Vörös Ördögök'!I50</f>
        <v>427.3125</v>
      </c>
      <c r="E37" t="s">
        <v>301</v>
      </c>
    </row>
    <row r="38" spans="1:5" ht="18.75">
      <c r="A38" s="133">
        <f t="shared" si="1"/>
        <v>37</v>
      </c>
      <c r="B38" s="140" t="s">
        <v>53</v>
      </c>
      <c r="C38" s="140" t="s">
        <v>209</v>
      </c>
      <c r="D38" s="134">
        <f>Euroteke!I50</f>
        <v>427.07142857142856</v>
      </c>
      <c r="E38" s="94" t="s">
        <v>300</v>
      </c>
    </row>
    <row r="39" spans="1:5" ht="18.75">
      <c r="A39" s="133">
        <f t="shared" si="1"/>
        <v>38</v>
      </c>
      <c r="B39" s="140" t="s">
        <v>62</v>
      </c>
      <c r="C39" s="140" t="s">
        <v>20</v>
      </c>
      <c r="D39" s="134">
        <f>Szefo!F50</f>
        <v>426.8125</v>
      </c>
      <c r="E39" t="s">
        <v>301</v>
      </c>
    </row>
    <row r="40" spans="1:5" ht="18.75">
      <c r="A40" s="133">
        <f t="shared" si="1"/>
        <v>39</v>
      </c>
      <c r="B40" s="140" t="s">
        <v>89</v>
      </c>
      <c r="C40" s="140" t="s">
        <v>205</v>
      </c>
      <c r="D40" s="134">
        <f>'Temesvári Hús'!C51</f>
        <v>426.75</v>
      </c>
      <c r="E40" t="s">
        <v>301</v>
      </c>
    </row>
    <row r="41" spans="1:5" ht="18.75">
      <c r="A41" s="133">
        <f t="shared" si="1"/>
        <v>40</v>
      </c>
      <c r="B41" s="140" t="s">
        <v>135</v>
      </c>
      <c r="C41" s="140" t="s">
        <v>207</v>
      </c>
      <c r="D41" s="134">
        <f>Kalmár!J50</f>
        <v>426.5</v>
      </c>
      <c r="E41" t="s">
        <v>301</v>
      </c>
    </row>
    <row r="42" spans="1:5" ht="18.75">
      <c r="A42" s="133">
        <f t="shared" si="1"/>
        <v>41</v>
      </c>
      <c r="B42" s="140" t="s">
        <v>75</v>
      </c>
      <c r="C42" s="140" t="s">
        <v>226</v>
      </c>
      <c r="D42" s="134">
        <f>Santé!G50</f>
        <v>426.46153846153845</v>
      </c>
      <c r="E42" t="s">
        <v>301</v>
      </c>
    </row>
    <row r="43" spans="1:5" ht="18.75">
      <c r="A43" s="133">
        <f t="shared" si="1"/>
        <v>42</v>
      </c>
      <c r="B43" s="140" t="s">
        <v>195</v>
      </c>
      <c r="C43" s="140" t="s">
        <v>264</v>
      </c>
      <c r="D43" s="134">
        <f>'Amazonok és Titánok'!J50</f>
        <v>426</v>
      </c>
      <c r="E43" t="s">
        <v>301</v>
      </c>
    </row>
    <row r="44" spans="1:5" ht="18.75">
      <c r="A44" s="133">
        <f t="shared" si="1"/>
        <v>43</v>
      </c>
      <c r="B44" s="140" t="s">
        <v>94</v>
      </c>
      <c r="C44" s="140" t="s">
        <v>260</v>
      </c>
      <c r="D44" s="134">
        <f>Gumigyár!G50</f>
        <v>425.5625</v>
      </c>
      <c r="E44" s="94" t="s">
        <v>300</v>
      </c>
    </row>
    <row r="45" spans="1:5" ht="18.75">
      <c r="A45" s="133">
        <f t="shared" si="1"/>
        <v>44</v>
      </c>
      <c r="B45" s="140" t="s">
        <v>172</v>
      </c>
      <c r="C45" s="140" t="s">
        <v>17</v>
      </c>
      <c r="D45" s="134">
        <f>Privát!G50</f>
        <v>425.4</v>
      </c>
      <c r="E45" s="94" t="s">
        <v>301</v>
      </c>
    </row>
    <row r="46" spans="1:5" ht="18.75">
      <c r="A46" s="133">
        <f t="shared" si="1"/>
        <v>45</v>
      </c>
      <c r="B46" s="140" t="s">
        <v>48</v>
      </c>
      <c r="C46" s="140" t="s">
        <v>15</v>
      </c>
      <c r="D46" s="134">
        <f>Tápé!G51</f>
        <v>425.0833333333333</v>
      </c>
      <c r="E46" t="s">
        <v>301</v>
      </c>
    </row>
    <row r="47" spans="1:5" ht="18.75">
      <c r="A47" s="133">
        <f t="shared" si="1"/>
        <v>46</v>
      </c>
      <c r="B47" s="259" t="s">
        <v>284</v>
      </c>
      <c r="C47" s="133" t="s">
        <v>263</v>
      </c>
      <c r="D47" s="273">
        <f>'Vörös Ördögök'!F50</f>
        <v>424.46666666666664</v>
      </c>
      <c r="E47" s="94" t="s">
        <v>301</v>
      </c>
    </row>
    <row r="48" spans="1:5" ht="18.75">
      <c r="A48" s="133">
        <f t="shared" si="1"/>
        <v>47</v>
      </c>
      <c r="B48" s="259" t="s">
        <v>285</v>
      </c>
      <c r="C48" s="133" t="s">
        <v>263</v>
      </c>
      <c r="D48" s="273">
        <f>'Vörös Ördögök'!G50</f>
        <v>424.26666666666665</v>
      </c>
      <c r="E48" t="s">
        <v>301</v>
      </c>
    </row>
    <row r="49" spans="1:5" ht="18.75">
      <c r="A49" s="133">
        <f t="shared" si="1"/>
        <v>48</v>
      </c>
      <c r="B49" s="140" t="s">
        <v>294</v>
      </c>
      <c r="C49" s="140" t="s">
        <v>21</v>
      </c>
      <c r="D49" s="134">
        <f>'Dél Akku'!L50</f>
        <v>424</v>
      </c>
      <c r="E49" t="s">
        <v>301</v>
      </c>
    </row>
    <row r="50" spans="1:5" ht="18.75">
      <c r="A50" s="133">
        <f t="shared" si="1"/>
        <v>49</v>
      </c>
      <c r="B50" s="140" t="s">
        <v>197</v>
      </c>
      <c r="C50" s="140" t="s">
        <v>205</v>
      </c>
      <c r="D50" s="134">
        <f>'Temesvári Hús'!L51</f>
        <v>424</v>
      </c>
      <c r="E50" s="336" t="s">
        <v>301</v>
      </c>
    </row>
    <row r="51" spans="1:5" ht="18.75">
      <c r="A51" s="133">
        <f t="shared" si="1"/>
        <v>50</v>
      </c>
      <c r="B51" s="140" t="s">
        <v>189</v>
      </c>
      <c r="C51" s="140" t="s">
        <v>17</v>
      </c>
      <c r="D51" s="134">
        <f>Privát!I50</f>
        <v>423.84615384615387</v>
      </c>
      <c r="E51" t="s">
        <v>301</v>
      </c>
    </row>
    <row r="52" spans="1:5" ht="18.75">
      <c r="A52" s="133">
        <f t="shared" si="1"/>
        <v>51</v>
      </c>
      <c r="B52" s="140" t="s">
        <v>35</v>
      </c>
      <c r="C52" s="140" t="s">
        <v>264</v>
      </c>
      <c r="D52" s="134">
        <v>423.7142857142857</v>
      </c>
      <c r="E52" t="s">
        <v>301</v>
      </c>
    </row>
    <row r="53" spans="1:5" ht="18.75">
      <c r="A53" s="133">
        <f t="shared" si="1"/>
        <v>52</v>
      </c>
      <c r="B53" s="140" t="s">
        <v>110</v>
      </c>
      <c r="C53" s="140" t="s">
        <v>26</v>
      </c>
      <c r="D53" s="134">
        <f>Kinizsi!I50</f>
        <v>423.27272727272725</v>
      </c>
      <c r="E53" t="s">
        <v>301</v>
      </c>
    </row>
    <row r="54" spans="1:5" ht="18.75">
      <c r="A54" s="133">
        <f t="shared" si="1"/>
        <v>53</v>
      </c>
      <c r="B54" s="140" t="s">
        <v>221</v>
      </c>
      <c r="C54" s="140" t="s">
        <v>20</v>
      </c>
      <c r="D54" s="134">
        <f>Szefo!I50</f>
        <v>421.9375</v>
      </c>
      <c r="E54" t="s">
        <v>301</v>
      </c>
    </row>
    <row r="55" spans="1:5" ht="18.75">
      <c r="A55" s="133">
        <f t="shared" si="1"/>
        <v>54</v>
      </c>
      <c r="B55" s="140" t="s">
        <v>177</v>
      </c>
      <c r="C55" s="140" t="s">
        <v>196</v>
      </c>
      <c r="D55" s="134">
        <f>Démász!F51</f>
        <v>421.92857142857144</v>
      </c>
      <c r="E55" t="s">
        <v>301</v>
      </c>
    </row>
    <row r="56" spans="1:5" ht="18.75">
      <c r="A56" s="133">
        <f t="shared" si="1"/>
        <v>55</v>
      </c>
      <c r="B56" s="140" t="s">
        <v>82</v>
      </c>
      <c r="C56" s="140" t="s">
        <v>228</v>
      </c>
      <c r="D56" s="134">
        <f>'Anro ker'!E51</f>
        <v>421.8125</v>
      </c>
      <c r="E56" t="s">
        <v>301</v>
      </c>
    </row>
    <row r="57" spans="1:5" ht="18.75">
      <c r="A57" s="133">
        <f t="shared" si="1"/>
        <v>56</v>
      </c>
      <c r="B57" s="140" t="s">
        <v>79</v>
      </c>
      <c r="C57" s="140" t="s">
        <v>205</v>
      </c>
      <c r="D57" s="134">
        <f>'Temesvári Hús'!H51</f>
        <v>421.4375</v>
      </c>
      <c r="E57" t="s">
        <v>301</v>
      </c>
    </row>
    <row r="58" spans="1:5" ht="18.75">
      <c r="A58" s="133">
        <f t="shared" si="1"/>
        <v>57</v>
      </c>
      <c r="B58" s="140" t="s">
        <v>63</v>
      </c>
      <c r="C58" s="140" t="s">
        <v>20</v>
      </c>
      <c r="D58" s="134">
        <f>Szefo!D50</f>
        <v>420.93333333333334</v>
      </c>
      <c r="E58" t="s">
        <v>301</v>
      </c>
    </row>
    <row r="59" spans="1:5" ht="18.75">
      <c r="A59" s="133">
        <f t="shared" si="1"/>
        <v>58</v>
      </c>
      <c r="B59" s="140" t="s">
        <v>171</v>
      </c>
      <c r="C59" s="140" t="s">
        <v>17</v>
      </c>
      <c r="D59" s="134">
        <f>Privát!C50</f>
        <v>420.6666666666667</v>
      </c>
      <c r="E59" t="s">
        <v>301</v>
      </c>
    </row>
    <row r="60" spans="1:5" ht="18.75">
      <c r="A60" s="133">
        <f t="shared" si="1"/>
        <v>59</v>
      </c>
      <c r="B60" s="140" t="s">
        <v>51</v>
      </c>
      <c r="C60" s="140" t="s">
        <v>17</v>
      </c>
      <c r="D60" s="134">
        <f>Privát!E50</f>
        <v>420.0833333333333</v>
      </c>
      <c r="E60" t="s">
        <v>301</v>
      </c>
    </row>
    <row r="61" spans="1:5" ht="18.75">
      <c r="A61" s="133">
        <f t="shared" si="1"/>
        <v>60</v>
      </c>
      <c r="B61" s="143" t="s">
        <v>33</v>
      </c>
      <c r="C61" s="140" t="s">
        <v>264</v>
      </c>
      <c r="D61" s="134">
        <f>'Amazonok és Titánok'!K50</f>
        <v>420</v>
      </c>
      <c r="E61" t="s">
        <v>301</v>
      </c>
    </row>
    <row r="62" spans="1:5" ht="18.75">
      <c r="A62" s="133">
        <f t="shared" si="1"/>
        <v>61</v>
      </c>
      <c r="B62" s="140" t="s">
        <v>66</v>
      </c>
      <c r="C62" s="140" t="s">
        <v>264</v>
      </c>
      <c r="D62" s="134">
        <f>'Amazonok és Titánok'!F50</f>
        <v>419.8</v>
      </c>
      <c r="E62" t="s">
        <v>301</v>
      </c>
    </row>
    <row r="63" spans="1:8" ht="18.75">
      <c r="A63" s="133">
        <f t="shared" si="1"/>
        <v>62</v>
      </c>
      <c r="B63" s="140" t="s">
        <v>273</v>
      </c>
      <c r="C63" s="140" t="s">
        <v>22</v>
      </c>
      <c r="D63" s="134">
        <f>Postás!L51</f>
        <v>419.55555555555554</v>
      </c>
      <c r="E63" t="s">
        <v>301</v>
      </c>
      <c r="G63" s="132"/>
      <c r="H63" s="253"/>
    </row>
    <row r="64" spans="1:5" ht="18.75">
      <c r="A64" s="133">
        <f t="shared" si="1"/>
        <v>63</v>
      </c>
      <c r="B64" s="263" t="s">
        <v>296</v>
      </c>
      <c r="C64" s="133" t="s">
        <v>263</v>
      </c>
      <c r="D64" s="273">
        <f>'Vörös Ördögök'!E50</f>
        <v>419</v>
      </c>
      <c r="E64" t="s">
        <v>301</v>
      </c>
    </row>
    <row r="65" spans="1:5" ht="18.75">
      <c r="A65" s="133">
        <f t="shared" si="1"/>
        <v>64</v>
      </c>
      <c r="B65" s="140" t="s">
        <v>58</v>
      </c>
      <c r="C65" s="140" t="s">
        <v>21</v>
      </c>
      <c r="D65" s="134">
        <f>'Dél Akku'!G50</f>
        <v>418.6363636363636</v>
      </c>
      <c r="E65" t="s">
        <v>301</v>
      </c>
    </row>
    <row r="66" spans="1:5" ht="18.75">
      <c r="A66" s="133">
        <f t="shared" si="1"/>
        <v>65</v>
      </c>
      <c r="B66" s="140" t="s">
        <v>54</v>
      </c>
      <c r="C66" s="140" t="s">
        <v>21</v>
      </c>
      <c r="D66" s="134">
        <f>'Dél Akku'!C50</f>
        <v>418.46666666666664</v>
      </c>
      <c r="E66" t="s">
        <v>301</v>
      </c>
    </row>
    <row r="67" spans="1:5" ht="18.75">
      <c r="A67" s="133">
        <f aca="true" t="shared" si="2" ref="A67:A98">A66+1</f>
        <v>66</v>
      </c>
      <c r="B67" s="259" t="s">
        <v>283</v>
      </c>
      <c r="C67" s="133" t="s">
        <v>263</v>
      </c>
      <c r="D67" s="273">
        <f>'Vörös Ördögök'!D50</f>
        <v>418.375</v>
      </c>
      <c r="E67" t="s">
        <v>301</v>
      </c>
    </row>
    <row r="68" spans="1:5" ht="18.75">
      <c r="A68" s="133">
        <f t="shared" si="2"/>
        <v>67</v>
      </c>
      <c r="B68" s="140" t="s">
        <v>169</v>
      </c>
      <c r="C68" s="140" t="s">
        <v>211</v>
      </c>
      <c r="D68" s="134">
        <f>'Fa-Team'!F51</f>
        <v>418</v>
      </c>
      <c r="E68" t="s">
        <v>301</v>
      </c>
    </row>
    <row r="69" spans="1:5" ht="18.75">
      <c r="A69" s="133">
        <f t="shared" si="2"/>
        <v>68</v>
      </c>
      <c r="B69" s="140" t="s">
        <v>111</v>
      </c>
      <c r="C69" s="140" t="s">
        <v>228</v>
      </c>
      <c r="D69" s="134">
        <f>'Anro ker'!K51</f>
        <v>417.90909090909093</v>
      </c>
      <c r="E69" t="s">
        <v>301</v>
      </c>
    </row>
    <row r="70" spans="1:5" ht="18.75">
      <c r="A70" s="133">
        <f t="shared" si="2"/>
        <v>69</v>
      </c>
      <c r="B70" s="140" t="s">
        <v>34</v>
      </c>
      <c r="C70" s="140" t="s">
        <v>229</v>
      </c>
      <c r="D70" s="134">
        <f>GLB!F51</f>
        <v>417.875</v>
      </c>
      <c r="E70" t="s">
        <v>301</v>
      </c>
    </row>
    <row r="71" spans="1:5" ht="18.75">
      <c r="A71" s="133">
        <f t="shared" si="2"/>
        <v>70</v>
      </c>
      <c r="B71" s="140" t="s">
        <v>170</v>
      </c>
      <c r="C71" s="140" t="s">
        <v>229</v>
      </c>
      <c r="D71" s="134">
        <f>GLB!F51</f>
        <v>417.875</v>
      </c>
      <c r="E71" t="s">
        <v>301</v>
      </c>
    </row>
    <row r="72" spans="1:5" ht="18.75">
      <c r="A72" s="133">
        <f t="shared" si="2"/>
        <v>71</v>
      </c>
      <c r="B72" s="140" t="s">
        <v>50</v>
      </c>
      <c r="C72" s="140" t="s">
        <v>17</v>
      </c>
      <c r="D72" s="134">
        <f>Privát!D50</f>
        <v>417.7142857142857</v>
      </c>
      <c r="E72" t="s">
        <v>301</v>
      </c>
    </row>
    <row r="73" spans="1:5" ht="18.75">
      <c r="A73" s="133">
        <f t="shared" si="2"/>
        <v>72</v>
      </c>
      <c r="B73" s="140" t="s">
        <v>55</v>
      </c>
      <c r="C73" s="140" t="s">
        <v>21</v>
      </c>
      <c r="D73" s="134">
        <f>'Dél Akku'!D50</f>
        <v>417.46666666666664</v>
      </c>
      <c r="E73" t="s">
        <v>301</v>
      </c>
    </row>
    <row r="74" spans="1:5" ht="18.75">
      <c r="A74" s="133">
        <f t="shared" si="2"/>
        <v>73</v>
      </c>
      <c r="B74" s="142" t="s">
        <v>270</v>
      </c>
      <c r="C74" s="140" t="s">
        <v>17</v>
      </c>
      <c r="D74" s="134">
        <f>Privát!K50</f>
        <v>417.3333333333333</v>
      </c>
      <c r="E74" t="s">
        <v>301</v>
      </c>
    </row>
    <row r="75" spans="1:8" ht="18.75">
      <c r="A75" s="133">
        <f t="shared" si="2"/>
        <v>74</v>
      </c>
      <c r="B75" s="140" t="s">
        <v>86</v>
      </c>
      <c r="C75" s="140" t="s">
        <v>22</v>
      </c>
      <c r="D75" s="134">
        <f>Postás!C51</f>
        <v>417.3125</v>
      </c>
      <c r="E75" t="s">
        <v>301</v>
      </c>
      <c r="G75" s="132"/>
      <c r="H75" s="17"/>
    </row>
    <row r="76" spans="1:8" ht="18.75">
      <c r="A76" s="133">
        <f t="shared" si="2"/>
        <v>75</v>
      </c>
      <c r="B76" s="140" t="s">
        <v>67</v>
      </c>
      <c r="C76" s="140" t="s">
        <v>264</v>
      </c>
      <c r="D76" s="134">
        <f>'Amazonok és Titánok'!G50</f>
        <v>417.2857142857143</v>
      </c>
      <c r="E76" t="s">
        <v>301</v>
      </c>
      <c r="G76" s="132"/>
      <c r="H76" s="253"/>
    </row>
    <row r="77" spans="1:5" ht="18.75">
      <c r="A77" s="133">
        <f t="shared" si="2"/>
        <v>76</v>
      </c>
      <c r="B77" s="140" t="s">
        <v>215</v>
      </c>
      <c r="C77" s="140" t="s">
        <v>209</v>
      </c>
      <c r="D77" s="134">
        <f>Euroteke!K50</f>
        <v>417</v>
      </c>
      <c r="E77" s="94" t="s">
        <v>300</v>
      </c>
    </row>
    <row r="78" spans="1:5" ht="18.75">
      <c r="A78" s="133">
        <f t="shared" si="2"/>
        <v>77</v>
      </c>
      <c r="B78" s="140" t="s">
        <v>80</v>
      </c>
      <c r="C78" s="140" t="s">
        <v>205</v>
      </c>
      <c r="D78" s="134">
        <f>'Temesvári Hús'!J51</f>
        <v>416.9375</v>
      </c>
      <c r="E78" t="s">
        <v>301</v>
      </c>
    </row>
    <row r="79" spans="1:5" ht="18.75">
      <c r="A79" s="133">
        <f t="shared" si="2"/>
        <v>78</v>
      </c>
      <c r="B79" s="140" t="s">
        <v>173</v>
      </c>
      <c r="C79" s="140" t="s">
        <v>17</v>
      </c>
      <c r="D79" s="134">
        <f>Privát!H50</f>
        <v>416.9230769230769</v>
      </c>
      <c r="E79" t="s">
        <v>301</v>
      </c>
    </row>
    <row r="80" spans="1:5" ht="18.75">
      <c r="A80" s="133">
        <f t="shared" si="2"/>
        <v>79</v>
      </c>
      <c r="B80" s="140" t="s">
        <v>193</v>
      </c>
      <c r="C80" s="140" t="s">
        <v>15</v>
      </c>
      <c r="D80" s="134">
        <f>Tápé!D51</f>
        <v>416.2307692307692</v>
      </c>
      <c r="E80" t="s">
        <v>301</v>
      </c>
    </row>
    <row r="81" spans="1:5" ht="18.75">
      <c r="A81" s="133">
        <f t="shared" si="2"/>
        <v>80</v>
      </c>
      <c r="B81" s="140" t="s">
        <v>68</v>
      </c>
      <c r="C81" s="140" t="s">
        <v>229</v>
      </c>
      <c r="D81" s="134">
        <f>GLB!D51</f>
        <v>416.06666666666666</v>
      </c>
      <c r="E81" t="s">
        <v>301</v>
      </c>
    </row>
    <row r="82" spans="1:5" ht="18.75">
      <c r="A82" s="133">
        <f t="shared" si="2"/>
        <v>81</v>
      </c>
      <c r="B82" s="140" t="s">
        <v>222</v>
      </c>
      <c r="C82" s="140" t="s">
        <v>228</v>
      </c>
      <c r="D82" s="134">
        <f>'Anro ker'!L51</f>
        <v>415.6</v>
      </c>
      <c r="E82" t="s">
        <v>301</v>
      </c>
    </row>
    <row r="83" spans="1:5" ht="18.75">
      <c r="A83" s="133">
        <f t="shared" si="2"/>
        <v>82</v>
      </c>
      <c r="B83" s="140" t="s">
        <v>122</v>
      </c>
      <c r="C83" s="140" t="s">
        <v>229</v>
      </c>
      <c r="D83" s="134">
        <f>GLB!I51</f>
        <v>415.5625</v>
      </c>
      <c r="E83" t="s">
        <v>301</v>
      </c>
    </row>
    <row r="84" spans="1:5" ht="18.75">
      <c r="A84" s="133">
        <f t="shared" si="2"/>
        <v>83</v>
      </c>
      <c r="B84" s="140" t="s">
        <v>123</v>
      </c>
      <c r="C84" s="140" t="s">
        <v>20</v>
      </c>
      <c r="D84" s="134">
        <f>Szefo!K50</f>
        <v>415.5</v>
      </c>
      <c r="E84" t="s">
        <v>301</v>
      </c>
    </row>
    <row r="85" spans="1:5" ht="18.75">
      <c r="A85" s="133">
        <f t="shared" si="2"/>
        <v>84</v>
      </c>
      <c r="B85" s="140" t="s">
        <v>74</v>
      </c>
      <c r="C85" s="140" t="s">
        <v>226</v>
      </c>
      <c r="D85" s="134">
        <f>Santé!F50</f>
        <v>415.14285714285717</v>
      </c>
      <c r="E85" t="s">
        <v>301</v>
      </c>
    </row>
    <row r="86" spans="1:5" ht="18.75">
      <c r="A86" s="133">
        <f t="shared" si="2"/>
        <v>85</v>
      </c>
      <c r="B86" s="259" t="s">
        <v>287</v>
      </c>
      <c r="C86" s="133" t="s">
        <v>263</v>
      </c>
      <c r="D86" s="273">
        <f>'Vörös Ördögök'!M50</f>
        <v>414.6666666666667</v>
      </c>
      <c r="E86" t="s">
        <v>301</v>
      </c>
    </row>
    <row r="87" spans="1:8" ht="18.75">
      <c r="A87" s="133">
        <f t="shared" si="2"/>
        <v>86</v>
      </c>
      <c r="B87" s="140" t="s">
        <v>121</v>
      </c>
      <c r="C87" s="140" t="s">
        <v>15</v>
      </c>
      <c r="D87" s="134">
        <f>Tápé!L51</f>
        <v>414.6</v>
      </c>
      <c r="E87" t="s">
        <v>301</v>
      </c>
      <c r="G87" s="132"/>
      <c r="H87" s="253"/>
    </row>
    <row r="88" spans="1:5" ht="18.75">
      <c r="A88" s="133">
        <f t="shared" si="2"/>
        <v>87</v>
      </c>
      <c r="B88" s="140" t="s">
        <v>198</v>
      </c>
      <c r="C88" s="140" t="s">
        <v>22</v>
      </c>
      <c r="D88" s="134">
        <f>Postás!G51</f>
        <v>413.8666666666667</v>
      </c>
      <c r="E88" t="s">
        <v>301</v>
      </c>
    </row>
    <row r="89" spans="1:5" ht="18.75">
      <c r="A89" s="133">
        <f t="shared" si="2"/>
        <v>88</v>
      </c>
      <c r="B89" s="140" t="s">
        <v>65</v>
      </c>
      <c r="C89" s="140" t="s">
        <v>264</v>
      </c>
      <c r="D89" s="134">
        <f>'Amazonok és Titánok'!E50</f>
        <v>413.7142857142857</v>
      </c>
      <c r="E89" t="s">
        <v>301</v>
      </c>
    </row>
    <row r="90" spans="1:5" ht="18.75">
      <c r="A90" s="133">
        <f t="shared" si="2"/>
        <v>89</v>
      </c>
      <c r="B90" s="140" t="s">
        <v>52</v>
      </c>
      <c r="C90" s="140" t="s">
        <v>17</v>
      </c>
      <c r="D90" s="134">
        <f>Privát!F50</f>
        <v>413.38461538461536</v>
      </c>
      <c r="E90" t="s">
        <v>301</v>
      </c>
    </row>
    <row r="91" spans="1:5" ht="18.75">
      <c r="A91" s="133">
        <f t="shared" si="2"/>
        <v>90</v>
      </c>
      <c r="B91" s="140" t="s">
        <v>108</v>
      </c>
      <c r="C91" s="140" t="s">
        <v>207</v>
      </c>
      <c r="D91" s="134">
        <f>Kalmár!G50</f>
        <v>413.3333333333333</v>
      </c>
      <c r="E91" t="s">
        <v>301</v>
      </c>
    </row>
    <row r="92" spans="1:5" ht="18.75">
      <c r="A92" s="133">
        <f t="shared" si="2"/>
        <v>91</v>
      </c>
      <c r="B92" s="140" t="s">
        <v>148</v>
      </c>
      <c r="C92" s="140" t="s">
        <v>196</v>
      </c>
      <c r="D92" s="134">
        <f>Démász!J51</f>
        <v>411.625</v>
      </c>
      <c r="E92" t="s">
        <v>301</v>
      </c>
    </row>
    <row r="93" spans="1:5" ht="18.75">
      <c r="A93" s="133">
        <f t="shared" si="2"/>
        <v>92</v>
      </c>
      <c r="B93" s="140" t="s">
        <v>78</v>
      </c>
      <c r="C93" s="140" t="s">
        <v>205</v>
      </c>
      <c r="D93" s="134">
        <f>'Temesvári Hús'!G51</f>
        <v>411.5</v>
      </c>
      <c r="E93" t="s">
        <v>301</v>
      </c>
    </row>
    <row r="94" spans="1:5" ht="18.75">
      <c r="A94" s="133">
        <f t="shared" si="2"/>
        <v>93</v>
      </c>
      <c r="B94" s="140" t="s">
        <v>81</v>
      </c>
      <c r="C94" s="140" t="s">
        <v>228</v>
      </c>
      <c r="D94" s="134">
        <f>'Anro ker'!D51</f>
        <v>410.85714285714283</v>
      </c>
      <c r="E94" t="s">
        <v>301</v>
      </c>
    </row>
    <row r="95" spans="1:5" ht="18.75">
      <c r="A95" s="133">
        <f t="shared" si="2"/>
        <v>94</v>
      </c>
      <c r="B95" s="140" t="s">
        <v>118</v>
      </c>
      <c r="C95" s="140" t="s">
        <v>15</v>
      </c>
      <c r="D95" s="134">
        <f>Tápé!J51</f>
        <v>410.84615384615387</v>
      </c>
      <c r="E95" t="s">
        <v>301</v>
      </c>
    </row>
    <row r="96" spans="1:5" ht="18.75">
      <c r="A96" s="133">
        <f t="shared" si="2"/>
        <v>95</v>
      </c>
      <c r="B96" s="140" t="s">
        <v>113</v>
      </c>
      <c r="C96" s="140" t="s">
        <v>229</v>
      </c>
      <c r="D96" s="134">
        <f>GLB!C51</f>
        <v>410.73333333333335</v>
      </c>
      <c r="E96" t="s">
        <v>301</v>
      </c>
    </row>
    <row r="97" spans="1:5" ht="18.75">
      <c r="A97" s="133">
        <f t="shared" si="2"/>
        <v>96</v>
      </c>
      <c r="B97" s="140" t="s">
        <v>192</v>
      </c>
      <c r="C97" s="140" t="s">
        <v>260</v>
      </c>
      <c r="D97" s="134">
        <f>Gumigyár!K50</f>
        <v>409.4375</v>
      </c>
      <c r="E97" t="s">
        <v>301</v>
      </c>
    </row>
    <row r="98" spans="1:5" ht="18.75">
      <c r="A98" s="133">
        <f t="shared" si="2"/>
        <v>97</v>
      </c>
      <c r="B98" s="259" t="s">
        <v>282</v>
      </c>
      <c r="C98" s="133" t="s">
        <v>263</v>
      </c>
      <c r="D98" s="273">
        <f>'Vörös Ördögök'!C50</f>
        <v>409.3636363636364</v>
      </c>
      <c r="E98" t="s">
        <v>301</v>
      </c>
    </row>
    <row r="99" spans="1:5" ht="18.75">
      <c r="A99" s="133">
        <f aca="true" t="shared" si="3" ref="A99:A130">A98+1</f>
        <v>98</v>
      </c>
      <c r="B99" s="140" t="s">
        <v>47</v>
      </c>
      <c r="C99" s="140" t="s">
        <v>15</v>
      </c>
      <c r="D99" s="134">
        <f>Tápé!F51</f>
        <v>409.2</v>
      </c>
      <c r="E99" t="s">
        <v>301</v>
      </c>
    </row>
    <row r="100" spans="1:5" ht="18.75">
      <c r="A100" s="133">
        <f t="shared" si="3"/>
        <v>99</v>
      </c>
      <c r="B100" s="140" t="s">
        <v>125</v>
      </c>
      <c r="C100" s="140" t="s">
        <v>26</v>
      </c>
      <c r="D100" s="134">
        <f>Kinizsi!K50</f>
        <v>408.3333333333333</v>
      </c>
      <c r="E100" t="s">
        <v>301</v>
      </c>
    </row>
    <row r="101" spans="1:5" ht="18.75">
      <c r="A101" s="133">
        <f t="shared" si="3"/>
        <v>100</v>
      </c>
      <c r="B101" s="140" t="s">
        <v>93</v>
      </c>
      <c r="C101" s="140" t="s">
        <v>260</v>
      </c>
      <c r="D101" s="134">
        <f>Gumigyár!F50</f>
        <v>407.8666666666667</v>
      </c>
      <c r="E101" t="s">
        <v>301</v>
      </c>
    </row>
    <row r="102" spans="1:5" ht="18.75">
      <c r="A102" s="133">
        <f t="shared" si="3"/>
        <v>101</v>
      </c>
      <c r="B102" s="140" t="s">
        <v>36</v>
      </c>
      <c r="C102" s="140" t="s">
        <v>196</v>
      </c>
      <c r="D102" s="134">
        <f>Démász!E51</f>
        <v>406.84615384615387</v>
      </c>
      <c r="E102" t="s">
        <v>301</v>
      </c>
    </row>
    <row r="103" spans="1:5" ht="18.75">
      <c r="A103" s="133">
        <f t="shared" si="3"/>
        <v>102</v>
      </c>
      <c r="B103" s="140" t="s">
        <v>46</v>
      </c>
      <c r="C103" s="140" t="s">
        <v>15</v>
      </c>
      <c r="D103" s="134">
        <f>Tápé!E51</f>
        <v>406.75</v>
      </c>
      <c r="E103" t="s">
        <v>301</v>
      </c>
    </row>
    <row r="104" spans="1:8" ht="18.75">
      <c r="A104" s="133">
        <f t="shared" si="3"/>
        <v>103</v>
      </c>
      <c r="B104" s="140" t="s">
        <v>120</v>
      </c>
      <c r="C104" s="140" t="s">
        <v>21</v>
      </c>
      <c r="D104" s="134">
        <f>'Dél Akku'!I50</f>
        <v>405.5833333333333</v>
      </c>
      <c r="E104" t="s">
        <v>301</v>
      </c>
      <c r="G104" s="132"/>
      <c r="H104" s="253"/>
    </row>
    <row r="105" spans="1:5" ht="18.75">
      <c r="A105" s="133">
        <f t="shared" si="3"/>
        <v>104</v>
      </c>
      <c r="B105" s="140" t="s">
        <v>97</v>
      </c>
      <c r="C105" s="140" t="s">
        <v>260</v>
      </c>
      <c r="D105" s="134">
        <f>Gumigyár!I50</f>
        <v>405.4</v>
      </c>
      <c r="E105" t="s">
        <v>301</v>
      </c>
    </row>
    <row r="106" spans="1:5" ht="18.75">
      <c r="A106" s="133">
        <f t="shared" si="3"/>
        <v>105</v>
      </c>
      <c r="B106" s="140" t="s">
        <v>124</v>
      </c>
      <c r="C106" s="140" t="s">
        <v>205</v>
      </c>
      <c r="D106" s="134">
        <f>'Temesvári Hús'!I51</f>
        <v>405.09090909090907</v>
      </c>
      <c r="E106" t="s">
        <v>301</v>
      </c>
    </row>
    <row r="107" spans="1:5" ht="18.75">
      <c r="A107" s="133">
        <f t="shared" si="3"/>
        <v>106</v>
      </c>
      <c r="B107" s="140" t="s">
        <v>72</v>
      </c>
      <c r="C107" s="140" t="s">
        <v>226</v>
      </c>
      <c r="D107" s="134">
        <f>Santé!D50</f>
        <v>405.0625</v>
      </c>
      <c r="E107" t="s">
        <v>301</v>
      </c>
    </row>
    <row r="108" spans="1:5" ht="18.75">
      <c r="A108" s="133">
        <f t="shared" si="3"/>
        <v>107</v>
      </c>
      <c r="B108" s="140" t="s">
        <v>69</v>
      </c>
      <c r="C108" s="140" t="s">
        <v>211</v>
      </c>
      <c r="D108" s="134">
        <f>'Fa-Team'!D51</f>
        <v>404.4375</v>
      </c>
      <c r="E108" t="s">
        <v>301</v>
      </c>
    </row>
    <row r="109" spans="1:5" ht="18.75">
      <c r="A109" s="133">
        <f t="shared" si="3"/>
        <v>108</v>
      </c>
      <c r="B109" s="140" t="s">
        <v>179</v>
      </c>
      <c r="C109" s="140" t="s">
        <v>196</v>
      </c>
      <c r="D109" s="134">
        <f>Démász!H51</f>
        <v>403.875</v>
      </c>
      <c r="E109" t="s">
        <v>301</v>
      </c>
    </row>
    <row r="110" spans="1:5" ht="18.75">
      <c r="A110" s="133">
        <f t="shared" si="3"/>
        <v>109</v>
      </c>
      <c r="B110" s="259" t="s">
        <v>212</v>
      </c>
      <c r="C110" s="133" t="s">
        <v>263</v>
      </c>
      <c r="D110" s="273">
        <f>'Vörös Ördögök'!H50</f>
        <v>403.8</v>
      </c>
      <c r="E110" t="s">
        <v>301</v>
      </c>
    </row>
    <row r="111" spans="1:5" ht="18.75">
      <c r="A111" s="133">
        <f t="shared" si="3"/>
        <v>110</v>
      </c>
      <c r="B111" s="144" t="s">
        <v>259</v>
      </c>
      <c r="C111" s="140" t="s">
        <v>209</v>
      </c>
      <c r="D111" s="134">
        <f>Euroteke!D50</f>
        <v>403.6666666666667</v>
      </c>
      <c r="E111" t="s">
        <v>301</v>
      </c>
    </row>
    <row r="112" spans="1:5" ht="18.75">
      <c r="A112" s="133">
        <f t="shared" si="3"/>
        <v>111</v>
      </c>
      <c r="B112" s="140" t="s">
        <v>70</v>
      </c>
      <c r="C112" s="140" t="s">
        <v>229</v>
      </c>
      <c r="D112" s="134">
        <f>GLB!H51</f>
        <v>403.5</v>
      </c>
      <c r="E112" t="s">
        <v>301</v>
      </c>
    </row>
    <row r="113" spans="1:5" ht="18.75">
      <c r="A113" s="133">
        <f t="shared" si="3"/>
        <v>112</v>
      </c>
      <c r="B113" s="140" t="s">
        <v>214</v>
      </c>
      <c r="C113" s="140" t="s">
        <v>209</v>
      </c>
      <c r="D113" s="134">
        <f>Euroteke!G50</f>
        <v>403</v>
      </c>
      <c r="E113" t="s">
        <v>301</v>
      </c>
    </row>
    <row r="114" spans="1:5" ht="18.75">
      <c r="A114" s="133">
        <f t="shared" si="3"/>
        <v>113</v>
      </c>
      <c r="B114" s="140" t="s">
        <v>291</v>
      </c>
      <c r="C114" s="140" t="s">
        <v>20</v>
      </c>
      <c r="D114" s="134">
        <f>Szefo!L50</f>
        <v>402.1666666666667</v>
      </c>
      <c r="E114" t="s">
        <v>301</v>
      </c>
    </row>
    <row r="115" spans="1:8" ht="18.75">
      <c r="A115" s="133">
        <f t="shared" si="3"/>
        <v>114</v>
      </c>
      <c r="B115" s="140" t="s">
        <v>57</v>
      </c>
      <c r="C115" s="140" t="s">
        <v>21</v>
      </c>
      <c r="D115" s="134">
        <f>'Dél Akku'!F50</f>
        <v>401.45454545454544</v>
      </c>
      <c r="E115" t="s">
        <v>301</v>
      </c>
      <c r="G115" s="132"/>
      <c r="H115" s="253"/>
    </row>
    <row r="116" spans="1:8" ht="18.75">
      <c r="A116" s="133">
        <f t="shared" si="3"/>
        <v>115</v>
      </c>
      <c r="B116" s="140" t="s">
        <v>129</v>
      </c>
      <c r="C116" s="140" t="s">
        <v>22</v>
      </c>
      <c r="D116" s="134">
        <f>Postás!J51</f>
        <v>401.3333333333333</v>
      </c>
      <c r="E116" t="s">
        <v>301</v>
      </c>
      <c r="G116" s="253"/>
      <c r="H116" s="253"/>
    </row>
    <row r="117" spans="1:5" ht="18.75">
      <c r="A117" s="133">
        <f t="shared" si="3"/>
        <v>116</v>
      </c>
      <c r="B117" s="140" t="s">
        <v>102</v>
      </c>
      <c r="C117" s="140" t="s">
        <v>22</v>
      </c>
      <c r="D117" s="134">
        <f>Postás!I51</f>
        <v>401.2</v>
      </c>
      <c r="E117" t="s">
        <v>301</v>
      </c>
    </row>
    <row r="118" spans="1:5" ht="18.75">
      <c r="A118" s="133">
        <f t="shared" si="3"/>
        <v>117</v>
      </c>
      <c r="B118" s="140" t="s">
        <v>88</v>
      </c>
      <c r="C118" s="140" t="s">
        <v>22</v>
      </c>
      <c r="D118" s="134">
        <f>Postás!E51</f>
        <v>401.2</v>
      </c>
      <c r="E118" t="s">
        <v>301</v>
      </c>
    </row>
    <row r="119" spans="1:5" ht="18.75">
      <c r="A119" s="133">
        <f t="shared" si="3"/>
        <v>118</v>
      </c>
      <c r="B119" s="140" t="s">
        <v>190</v>
      </c>
      <c r="C119" s="140" t="s">
        <v>196</v>
      </c>
      <c r="D119" s="134">
        <f>Démász!K51</f>
        <v>400.125</v>
      </c>
      <c r="E119" t="s">
        <v>301</v>
      </c>
    </row>
    <row r="120" spans="1:5" ht="18.75">
      <c r="A120" s="133">
        <f t="shared" si="3"/>
        <v>119</v>
      </c>
      <c r="B120" s="140" t="s">
        <v>61</v>
      </c>
      <c r="C120" s="140" t="s">
        <v>20</v>
      </c>
      <c r="D120" s="134">
        <f>Szefo!G50</f>
        <v>399.5</v>
      </c>
      <c r="E120" t="s">
        <v>301</v>
      </c>
    </row>
    <row r="121" spans="1:5" ht="18.75">
      <c r="A121" s="133">
        <f t="shared" si="3"/>
        <v>120</v>
      </c>
      <c r="B121" s="140" t="s">
        <v>176</v>
      </c>
      <c r="C121" s="140" t="s">
        <v>196</v>
      </c>
      <c r="D121" s="134">
        <f>Démász!D51</f>
        <v>398.44444444444446</v>
      </c>
      <c r="E121" t="s">
        <v>301</v>
      </c>
    </row>
    <row r="122" spans="1:8" ht="18.75">
      <c r="A122" s="133">
        <f t="shared" si="3"/>
        <v>121</v>
      </c>
      <c r="B122" s="140" t="s">
        <v>59</v>
      </c>
      <c r="C122" s="140" t="s">
        <v>21</v>
      </c>
      <c r="D122" s="134">
        <f>'Dél Akku'!H50</f>
        <v>397.5</v>
      </c>
      <c r="E122" t="s">
        <v>301</v>
      </c>
      <c r="G122" s="132"/>
      <c r="H122" s="253"/>
    </row>
    <row r="123" spans="1:5" ht="18.75">
      <c r="A123" s="133">
        <f t="shared" si="3"/>
        <v>122</v>
      </c>
      <c r="B123" s="143" t="s">
        <v>268</v>
      </c>
      <c r="C123" s="140" t="s">
        <v>264</v>
      </c>
      <c r="D123" s="134">
        <f>'Amazonok és Titánok'!L50</f>
        <v>397</v>
      </c>
      <c r="E123" t="s">
        <v>301</v>
      </c>
    </row>
    <row r="124" spans="1:5" ht="18.75">
      <c r="A124" s="133">
        <f t="shared" si="3"/>
        <v>123</v>
      </c>
      <c r="B124" s="140" t="s">
        <v>87</v>
      </c>
      <c r="C124" s="140" t="s">
        <v>22</v>
      </c>
      <c r="D124" s="134">
        <f>Postás!D51</f>
        <v>396.9166666666667</v>
      </c>
      <c r="E124" t="s">
        <v>301</v>
      </c>
    </row>
    <row r="125" spans="1:5" ht="18.75">
      <c r="A125" s="133">
        <f t="shared" si="3"/>
        <v>124</v>
      </c>
      <c r="B125" s="140" t="s">
        <v>213</v>
      </c>
      <c r="C125" s="140" t="s">
        <v>209</v>
      </c>
      <c r="D125" s="134">
        <f>Euroteke!C50</f>
        <v>396.3125</v>
      </c>
      <c r="E125" t="s">
        <v>301</v>
      </c>
    </row>
    <row r="126" spans="1:5" ht="18.75">
      <c r="A126" s="133">
        <f t="shared" si="3"/>
        <v>125</v>
      </c>
      <c r="B126" s="140" t="s">
        <v>95</v>
      </c>
      <c r="C126" s="140" t="s">
        <v>260</v>
      </c>
      <c r="D126" s="134">
        <f>Gumigyár!H50</f>
        <v>395.5</v>
      </c>
      <c r="E126" t="s">
        <v>301</v>
      </c>
    </row>
    <row r="127" spans="1:5" ht="18.75">
      <c r="A127" s="133">
        <f t="shared" si="3"/>
        <v>126</v>
      </c>
      <c r="B127" s="140" t="s">
        <v>103</v>
      </c>
      <c r="C127" s="140" t="s">
        <v>22</v>
      </c>
      <c r="D127" s="134">
        <f>Postás!H51</f>
        <v>395.3636363636364</v>
      </c>
      <c r="E127" t="s">
        <v>301</v>
      </c>
    </row>
    <row r="128" spans="1:5" ht="18.75">
      <c r="A128" s="133">
        <f t="shared" si="3"/>
        <v>127</v>
      </c>
      <c r="B128" s="141" t="s">
        <v>292</v>
      </c>
      <c r="C128" s="140" t="s">
        <v>226</v>
      </c>
      <c r="D128" s="134">
        <f>Santé!L50</f>
        <v>395</v>
      </c>
      <c r="E128" t="s">
        <v>301</v>
      </c>
    </row>
    <row r="129" spans="1:5" ht="18.75">
      <c r="A129" s="133">
        <f t="shared" si="3"/>
        <v>128</v>
      </c>
      <c r="B129" s="140" t="s">
        <v>100</v>
      </c>
      <c r="C129" s="140" t="s">
        <v>226</v>
      </c>
      <c r="D129" s="134">
        <f>Santé!H50</f>
        <v>392.4</v>
      </c>
      <c r="E129" t="s">
        <v>301</v>
      </c>
    </row>
    <row r="130" spans="1:5" ht="18.75">
      <c r="A130" s="133">
        <f t="shared" si="3"/>
        <v>129</v>
      </c>
      <c r="B130" s="140" t="s">
        <v>217</v>
      </c>
      <c r="C130" s="140" t="s">
        <v>209</v>
      </c>
      <c r="D130" s="134">
        <f>Euroteke!J50</f>
        <v>392.14285714285717</v>
      </c>
      <c r="E130" t="s">
        <v>301</v>
      </c>
    </row>
    <row r="131" spans="1:5" ht="18.75">
      <c r="A131" s="133">
        <f aca="true" t="shared" si="4" ref="A131:A166">A130+1</f>
        <v>130</v>
      </c>
      <c r="B131" s="140" t="s">
        <v>99</v>
      </c>
      <c r="C131" s="140" t="s">
        <v>205</v>
      </c>
      <c r="D131" s="134">
        <f>'Temesvári Hús'!K51</f>
        <v>392</v>
      </c>
      <c r="E131" t="s">
        <v>301</v>
      </c>
    </row>
    <row r="132" spans="1:5" ht="18.75">
      <c r="A132" s="133">
        <f t="shared" si="4"/>
        <v>131</v>
      </c>
      <c r="B132" s="140" t="s">
        <v>216</v>
      </c>
      <c r="C132" s="140" t="s">
        <v>209</v>
      </c>
      <c r="D132" s="134">
        <f>Euroteke!M50</f>
        <v>392</v>
      </c>
      <c r="E132" t="s">
        <v>301</v>
      </c>
    </row>
    <row r="133" spans="1:5" ht="18.75">
      <c r="A133" s="133">
        <f t="shared" si="4"/>
        <v>132</v>
      </c>
      <c r="B133" s="140" t="s">
        <v>180</v>
      </c>
      <c r="C133" s="140" t="s">
        <v>196</v>
      </c>
      <c r="D133" s="134">
        <f>Démász!I51</f>
        <v>391</v>
      </c>
      <c r="E133" t="s">
        <v>301</v>
      </c>
    </row>
    <row r="134" spans="1:5" ht="18.75">
      <c r="A134" s="133">
        <f t="shared" si="4"/>
        <v>133</v>
      </c>
      <c r="B134" s="140" t="s">
        <v>175</v>
      </c>
      <c r="C134" s="140" t="s">
        <v>196</v>
      </c>
      <c r="D134" s="134">
        <f>Démász!C51</f>
        <v>390.625</v>
      </c>
      <c r="E134" t="s">
        <v>301</v>
      </c>
    </row>
    <row r="135" spans="1:5" ht="18.75">
      <c r="A135" s="133">
        <f t="shared" si="4"/>
        <v>134</v>
      </c>
      <c r="B135" s="140" t="s">
        <v>117</v>
      </c>
      <c r="C135" s="140" t="s">
        <v>209</v>
      </c>
      <c r="D135" s="134">
        <f>Euroteke!H50</f>
        <v>390.5833333333333</v>
      </c>
      <c r="E135" t="s">
        <v>301</v>
      </c>
    </row>
    <row r="136" spans="1:5" ht="18.75">
      <c r="A136" s="133">
        <f t="shared" si="4"/>
        <v>135</v>
      </c>
      <c r="B136" s="140" t="s">
        <v>295</v>
      </c>
      <c r="C136" s="140" t="s">
        <v>22</v>
      </c>
      <c r="D136" s="134">
        <f>Postás!F51</f>
        <v>390.3636363636364</v>
      </c>
      <c r="E136" t="s">
        <v>301</v>
      </c>
    </row>
    <row r="137" spans="1:5" ht="18.75">
      <c r="A137" s="133">
        <f t="shared" si="4"/>
        <v>136</v>
      </c>
      <c r="B137" s="140" t="s">
        <v>98</v>
      </c>
      <c r="C137" s="140" t="s">
        <v>211</v>
      </c>
      <c r="D137" s="134">
        <f>'Fa-Team'!H51</f>
        <v>390.2857142857143</v>
      </c>
      <c r="E137" t="s">
        <v>301</v>
      </c>
    </row>
    <row r="138" spans="1:5" ht="18.75">
      <c r="A138" s="133">
        <f t="shared" si="4"/>
        <v>137</v>
      </c>
      <c r="B138" s="140" t="s">
        <v>194</v>
      </c>
      <c r="C138" s="140" t="s">
        <v>22</v>
      </c>
      <c r="D138" s="134">
        <f>Postás!K51</f>
        <v>388.14285714285717</v>
      </c>
      <c r="E138" t="s">
        <v>301</v>
      </c>
    </row>
    <row r="139" spans="1:5" ht="18.75">
      <c r="A139" s="133">
        <f t="shared" si="4"/>
        <v>138</v>
      </c>
      <c r="B139" s="140" t="s">
        <v>168</v>
      </c>
      <c r="C139" s="140" t="s">
        <v>211</v>
      </c>
      <c r="D139" s="134">
        <f>'Fa-Team'!E51</f>
        <v>384.7142857142857</v>
      </c>
      <c r="E139" t="s">
        <v>301</v>
      </c>
    </row>
    <row r="140" spans="1:5" ht="18.75">
      <c r="A140" s="133">
        <f t="shared" si="4"/>
        <v>139</v>
      </c>
      <c r="B140" s="143" t="s">
        <v>307</v>
      </c>
      <c r="C140" s="140" t="s">
        <v>205</v>
      </c>
      <c r="D140" s="134">
        <f>'Temesvári Hús'!E51</f>
        <v>382.25</v>
      </c>
      <c r="E140" t="s">
        <v>301</v>
      </c>
    </row>
    <row r="141" spans="1:5" ht="18.75">
      <c r="A141" s="133">
        <f t="shared" si="4"/>
        <v>140</v>
      </c>
      <c r="B141" s="140" t="s">
        <v>60</v>
      </c>
      <c r="C141" s="140" t="s">
        <v>20</v>
      </c>
      <c r="D141" s="134">
        <f>Szefo!H50</f>
        <v>379.5</v>
      </c>
      <c r="E141" t="s">
        <v>301</v>
      </c>
    </row>
    <row r="142" spans="1:5" ht="18.75">
      <c r="A142" s="133">
        <f t="shared" si="4"/>
        <v>141</v>
      </c>
      <c r="B142" s="259" t="s">
        <v>302</v>
      </c>
      <c r="C142" s="140" t="s">
        <v>226</v>
      </c>
      <c r="D142" s="134">
        <f>Santé!J50</f>
        <v>375</v>
      </c>
      <c r="E142" t="s">
        <v>301</v>
      </c>
    </row>
    <row r="143" spans="1:5" ht="18.75">
      <c r="A143" s="133">
        <f t="shared" si="4"/>
        <v>142</v>
      </c>
      <c r="B143" s="140" t="s">
        <v>85</v>
      </c>
      <c r="C143" s="140" t="s">
        <v>228</v>
      </c>
      <c r="D143" s="134">
        <f>'Anro ker'!H51</f>
        <v>372.3333333333333</v>
      </c>
      <c r="E143" t="s">
        <v>301</v>
      </c>
    </row>
    <row r="144" spans="1:5" ht="18.75">
      <c r="A144" s="133">
        <f t="shared" si="4"/>
        <v>143</v>
      </c>
      <c r="B144" s="140" t="s">
        <v>167</v>
      </c>
      <c r="C144" s="140" t="s">
        <v>211</v>
      </c>
      <c r="D144" s="134">
        <f>'Fa-Team'!C51</f>
        <v>369.15384615384613</v>
      </c>
      <c r="E144" t="s">
        <v>301</v>
      </c>
    </row>
    <row r="145" spans="1:5" ht="18.75">
      <c r="A145" s="133">
        <f t="shared" si="4"/>
        <v>144</v>
      </c>
      <c r="B145" s="140" t="s">
        <v>174</v>
      </c>
      <c r="C145" s="140" t="s">
        <v>229</v>
      </c>
      <c r="D145" s="134">
        <f>GLB!J51</f>
        <v>360.5</v>
      </c>
      <c r="E145" t="s">
        <v>301</v>
      </c>
    </row>
    <row r="146" spans="1:5" ht="18.75">
      <c r="A146" s="133">
        <f t="shared" si="4"/>
        <v>145</v>
      </c>
      <c r="B146" s="332" t="s">
        <v>308</v>
      </c>
      <c r="C146" s="330" t="s">
        <v>211</v>
      </c>
      <c r="D146" s="331">
        <f>'Fa-Team'!G51</f>
        <v>338</v>
      </c>
      <c r="E146" t="s">
        <v>301</v>
      </c>
    </row>
    <row r="147" spans="1:5" ht="18.75">
      <c r="A147" s="133">
        <f t="shared" si="4"/>
        <v>146</v>
      </c>
      <c r="B147" s="140" t="s">
        <v>92</v>
      </c>
      <c r="C147" s="140" t="s">
        <v>260</v>
      </c>
      <c r="D147" s="134">
        <f>Gumigyár!E50</f>
        <v>326.5</v>
      </c>
      <c r="E147" t="s">
        <v>301</v>
      </c>
    </row>
    <row r="148" spans="1:5" ht="18.75">
      <c r="A148" s="133">
        <f t="shared" si="4"/>
        <v>147</v>
      </c>
      <c r="B148" s="140" t="s">
        <v>112</v>
      </c>
      <c r="C148" s="140" t="s">
        <v>20</v>
      </c>
      <c r="D148" s="134">
        <f>Szefo!J50</f>
        <v>312</v>
      </c>
      <c r="E148" t="s">
        <v>301</v>
      </c>
    </row>
    <row r="149" spans="1:5" ht="18.75">
      <c r="A149" s="133">
        <f t="shared" si="4"/>
        <v>148</v>
      </c>
      <c r="B149" s="144" t="s">
        <v>311</v>
      </c>
      <c r="C149" s="140" t="s">
        <v>209</v>
      </c>
      <c r="D149" s="134">
        <f>Euroteke!L50</f>
        <v>312</v>
      </c>
      <c r="E149" s="336" t="s">
        <v>301</v>
      </c>
    </row>
    <row r="150" spans="1:5" ht="18.75">
      <c r="A150" s="133">
        <f t="shared" si="4"/>
        <v>149</v>
      </c>
      <c r="B150" s="141" t="s">
        <v>254</v>
      </c>
      <c r="C150" s="141" t="s">
        <v>21</v>
      </c>
      <c r="D150" s="134">
        <f>'Dél Akku'!J50</f>
        <v>0</v>
      </c>
      <c r="E150" s="94" t="s">
        <v>301</v>
      </c>
    </row>
    <row r="151" spans="1:5" ht="18.75">
      <c r="A151" s="133">
        <f t="shared" si="4"/>
        <v>150</v>
      </c>
      <c r="B151" s="140" t="s">
        <v>43</v>
      </c>
      <c r="C151" s="140" t="s">
        <v>26</v>
      </c>
      <c r="D151" s="134">
        <f>Kinizsi!F50</f>
        <v>0</v>
      </c>
      <c r="E151" t="s">
        <v>301</v>
      </c>
    </row>
    <row r="152" spans="1:5" ht="18.75">
      <c r="A152" s="133">
        <f t="shared" si="4"/>
        <v>151</v>
      </c>
      <c r="B152" s="140" t="s">
        <v>178</v>
      </c>
      <c r="C152" s="140" t="s">
        <v>196</v>
      </c>
      <c r="D152" s="134">
        <f>Démász!G51</f>
        <v>0</v>
      </c>
      <c r="E152" t="s">
        <v>301</v>
      </c>
    </row>
    <row r="153" spans="1:5" ht="18.75">
      <c r="A153" s="133">
        <f t="shared" si="4"/>
        <v>152</v>
      </c>
      <c r="B153" s="140" t="s">
        <v>104</v>
      </c>
      <c r="C153" s="140" t="s">
        <v>207</v>
      </c>
      <c r="D153" s="134">
        <f>Kalmár!C50</f>
        <v>0</v>
      </c>
      <c r="E153" t="s">
        <v>301</v>
      </c>
    </row>
    <row r="154" spans="1:5" ht="18.75">
      <c r="A154" s="133">
        <f t="shared" si="4"/>
        <v>153</v>
      </c>
      <c r="B154" s="140" t="s">
        <v>136</v>
      </c>
      <c r="C154" s="140" t="s">
        <v>228</v>
      </c>
      <c r="D154" s="134">
        <f>'Anro ker'!I51</f>
        <v>0</v>
      </c>
      <c r="E154" t="s">
        <v>301</v>
      </c>
    </row>
    <row r="155" spans="1:5" ht="18.75">
      <c r="A155" s="133">
        <f t="shared" si="4"/>
        <v>154</v>
      </c>
      <c r="B155" s="140" t="s">
        <v>149</v>
      </c>
      <c r="C155" s="140" t="s">
        <v>15</v>
      </c>
      <c r="D155" s="134">
        <f>Tápé!C51</f>
        <v>0</v>
      </c>
      <c r="E155" t="s">
        <v>301</v>
      </c>
    </row>
    <row r="156" spans="1:5" ht="18.75">
      <c r="A156" s="133">
        <f t="shared" si="4"/>
        <v>155</v>
      </c>
      <c r="B156" s="140" t="s">
        <v>83</v>
      </c>
      <c r="C156" s="140" t="s">
        <v>228</v>
      </c>
      <c r="D156" s="134">
        <v>0</v>
      </c>
      <c r="E156" t="s">
        <v>301</v>
      </c>
    </row>
    <row r="157" spans="1:5" ht="18.75">
      <c r="A157" s="133">
        <f t="shared" si="4"/>
        <v>156</v>
      </c>
      <c r="B157" s="140" t="s">
        <v>191</v>
      </c>
      <c r="C157" s="140" t="s">
        <v>260</v>
      </c>
      <c r="D157" s="134">
        <f>Gumigyár!J50</f>
        <v>0</v>
      </c>
      <c r="E157" t="s">
        <v>301</v>
      </c>
    </row>
    <row r="158" spans="1:5" ht="18.75">
      <c r="A158" s="133">
        <f t="shared" si="4"/>
        <v>157</v>
      </c>
      <c r="B158" s="140" t="s">
        <v>119</v>
      </c>
      <c r="C158" s="140" t="s">
        <v>15</v>
      </c>
      <c r="D158" s="134">
        <f>Tápé!K51</f>
        <v>0</v>
      </c>
      <c r="E158" t="s">
        <v>301</v>
      </c>
    </row>
    <row r="159" spans="1:5" ht="18.75">
      <c r="A159" s="133">
        <f t="shared" si="4"/>
        <v>158</v>
      </c>
      <c r="B159" s="140" t="s">
        <v>76</v>
      </c>
      <c r="C159" s="140" t="s">
        <v>205</v>
      </c>
      <c r="D159" s="134">
        <f>'Temesvári Hús'!D51</f>
        <v>0</v>
      </c>
      <c r="E159" t="s">
        <v>301</v>
      </c>
    </row>
    <row r="160" spans="1:5" ht="18.75">
      <c r="A160" s="133">
        <f t="shared" si="4"/>
        <v>159</v>
      </c>
      <c r="B160" s="140" t="s">
        <v>32</v>
      </c>
      <c r="C160" s="140" t="s">
        <v>196</v>
      </c>
      <c r="D160" s="134">
        <f>Démász!L51</f>
        <v>0</v>
      </c>
      <c r="E160" t="s">
        <v>301</v>
      </c>
    </row>
    <row r="161" spans="1:5" ht="18.75">
      <c r="A161" s="133">
        <f t="shared" si="4"/>
        <v>160</v>
      </c>
      <c r="B161" s="140" t="s">
        <v>293</v>
      </c>
      <c r="C161" s="140" t="s">
        <v>20</v>
      </c>
      <c r="D161" s="134">
        <f>Szefo!E50</f>
        <v>0</v>
      </c>
      <c r="E161" t="s">
        <v>301</v>
      </c>
    </row>
    <row r="162" spans="1:5" ht="18.75">
      <c r="A162" s="133">
        <f t="shared" si="4"/>
        <v>161</v>
      </c>
      <c r="B162" s="140" t="s">
        <v>150</v>
      </c>
      <c r="C162" s="140" t="s">
        <v>211</v>
      </c>
      <c r="D162" s="134">
        <f>'Fa-Team'!I51</f>
        <v>0</v>
      </c>
      <c r="E162" t="s">
        <v>301</v>
      </c>
    </row>
    <row r="163" spans="1:5" ht="18.75">
      <c r="A163" s="133">
        <f t="shared" si="4"/>
        <v>162</v>
      </c>
      <c r="B163" s="143" t="s">
        <v>271</v>
      </c>
      <c r="C163" s="141" t="s">
        <v>21</v>
      </c>
      <c r="D163" s="134">
        <f>'Dél Akku'!K50</f>
        <v>0</v>
      </c>
      <c r="E163" t="s">
        <v>301</v>
      </c>
    </row>
    <row r="164" spans="1:5" ht="18.75">
      <c r="A164" s="133">
        <f t="shared" si="4"/>
        <v>163</v>
      </c>
      <c r="B164" s="259" t="s">
        <v>289</v>
      </c>
      <c r="C164" s="133" t="s">
        <v>263</v>
      </c>
      <c r="D164" s="273">
        <f>'Vörös Ördögök'!L50</f>
        <v>0</v>
      </c>
      <c r="E164" t="s">
        <v>301</v>
      </c>
    </row>
    <row r="165" spans="1:5" ht="18.75">
      <c r="A165" s="133">
        <f t="shared" si="4"/>
        <v>164</v>
      </c>
      <c r="B165" s="259" t="s">
        <v>288</v>
      </c>
      <c r="C165" s="133" t="s">
        <v>263</v>
      </c>
      <c r="D165" s="273">
        <f>'Vörös Ördögök'!N50</f>
        <v>0</v>
      </c>
      <c r="E165" s="336" t="s">
        <v>301</v>
      </c>
    </row>
    <row r="166" spans="1:5" ht="18.75">
      <c r="A166" s="133">
        <f t="shared" si="4"/>
        <v>165</v>
      </c>
      <c r="B166" s="140" t="s">
        <v>200</v>
      </c>
      <c r="C166" s="140" t="s">
        <v>26</v>
      </c>
      <c r="D166" s="134">
        <f>Kinizsi!L50</f>
        <v>0</v>
      </c>
      <c r="E166" s="336" t="s">
        <v>301</v>
      </c>
    </row>
    <row r="167" spans="1:5" ht="18.75">
      <c r="A167" s="133">
        <v>166</v>
      </c>
      <c r="B167" s="144" t="s">
        <v>299</v>
      </c>
      <c r="C167" s="140" t="s">
        <v>211</v>
      </c>
      <c r="D167" s="134">
        <f>'Fa-Team'!L51</f>
        <v>0</v>
      </c>
      <c r="E167" s="336" t="s">
        <v>301</v>
      </c>
    </row>
    <row r="168" spans="2:3" ht="12.75">
      <c r="B168" s="96"/>
      <c r="C168" s="96"/>
    </row>
    <row r="169" spans="2:3" ht="12.75">
      <c r="B169" s="96"/>
      <c r="C169" s="96"/>
    </row>
    <row r="170" spans="2:3" ht="12.75">
      <c r="B170" s="96"/>
      <c r="C170" s="96"/>
    </row>
    <row r="171" spans="2:3" ht="12.75">
      <c r="B171" s="96"/>
      <c r="C171" s="96"/>
    </row>
    <row r="172" spans="2:3" ht="12.75">
      <c r="B172" s="96"/>
      <c r="C172" s="96"/>
    </row>
    <row r="173" spans="2:3" ht="12.75">
      <c r="B173" s="96"/>
      <c r="C173" s="96"/>
    </row>
    <row r="174" spans="2:3" ht="12.75">
      <c r="B174" s="96"/>
      <c r="C174" s="96"/>
    </row>
    <row r="175" spans="2:3" ht="12.75">
      <c r="B175" s="96"/>
      <c r="C175" s="96"/>
    </row>
    <row r="176" spans="2:3" ht="12.75">
      <c r="B176" s="96"/>
      <c r="C176" s="96"/>
    </row>
    <row r="177" spans="2:3" ht="12.75">
      <c r="B177" s="96"/>
      <c r="C177" s="96"/>
    </row>
    <row r="178" spans="2:3" ht="12.75">
      <c r="B178" s="96"/>
      <c r="C178" s="96"/>
    </row>
    <row r="179" spans="2:3" ht="12.75">
      <c r="B179" s="96"/>
      <c r="C179" s="96"/>
    </row>
    <row r="180" spans="2:3" ht="12.75">
      <c r="B180" s="96"/>
      <c r="C180" s="96"/>
    </row>
    <row r="181" spans="2:3" ht="12.75">
      <c r="B181" s="96"/>
      <c r="C181" s="96"/>
    </row>
    <row r="182" spans="2:3" ht="12.75">
      <c r="B182" s="96"/>
      <c r="C182" s="96"/>
    </row>
    <row r="183" spans="2:3" ht="12.75">
      <c r="B183" s="96"/>
      <c r="C183" s="96"/>
    </row>
    <row r="184" spans="2:3" ht="12.75">
      <c r="B184" s="96"/>
      <c r="C184" s="96"/>
    </row>
    <row r="185" spans="2:3" ht="12.75">
      <c r="B185" s="96"/>
      <c r="C185" s="96"/>
    </row>
    <row r="186" spans="2:3" ht="12.75">
      <c r="B186" s="96"/>
      <c r="C186" s="96"/>
    </row>
    <row r="187" spans="2:3" ht="12.75">
      <c r="B187" s="96"/>
      <c r="C187" s="96"/>
    </row>
    <row r="188" spans="2:3" ht="12.75">
      <c r="B188" s="96"/>
      <c r="C188" s="96"/>
    </row>
    <row r="189" spans="2:3" ht="12.75">
      <c r="B189" s="96"/>
      <c r="C189" s="96"/>
    </row>
    <row r="190" spans="2:3" ht="12.75">
      <c r="B190" s="96"/>
      <c r="C190" s="96"/>
    </row>
    <row r="191" spans="2:3" ht="12.75">
      <c r="B191" s="96"/>
      <c r="C191" s="96"/>
    </row>
    <row r="192" spans="2:3" ht="12.75">
      <c r="B192" s="96"/>
      <c r="C192" s="96"/>
    </row>
    <row r="193" spans="2:3" ht="12.75">
      <c r="B193" s="96"/>
      <c r="C193" s="96"/>
    </row>
    <row r="194" spans="2:3" ht="12.75">
      <c r="B194" s="96"/>
      <c r="C194" s="96"/>
    </row>
    <row r="195" spans="2:3" ht="12.75">
      <c r="B195" s="96"/>
      <c r="C195" s="96"/>
    </row>
    <row r="196" spans="2:3" ht="12.75">
      <c r="B196" s="96"/>
      <c r="C196" s="96"/>
    </row>
    <row r="197" spans="2:3" ht="12.75">
      <c r="B197" s="96"/>
      <c r="C197" s="96"/>
    </row>
    <row r="198" spans="2:3" ht="12.75">
      <c r="B198" s="96"/>
      <c r="C198" s="96"/>
    </row>
    <row r="199" spans="2:3" ht="12.75">
      <c r="B199" s="96"/>
      <c r="C199" s="96"/>
    </row>
    <row r="200" spans="2:3" ht="12.75">
      <c r="B200" s="96"/>
      <c r="C200" s="96"/>
    </row>
    <row r="201" spans="2:3" ht="12.75">
      <c r="B201" s="96"/>
      <c r="C201" s="96"/>
    </row>
    <row r="202" spans="2:3" ht="12.75">
      <c r="B202" s="96"/>
      <c r="C202" s="96"/>
    </row>
    <row r="203" spans="2:3" ht="12.75">
      <c r="B203" s="96"/>
      <c r="C203" s="96"/>
    </row>
    <row r="204" spans="2:3" ht="12.75">
      <c r="B204" s="96"/>
      <c r="C204" s="96"/>
    </row>
    <row r="205" spans="2:3" ht="12.75">
      <c r="B205" s="96"/>
      <c r="C205" s="96"/>
    </row>
    <row r="206" spans="2:3" ht="12.75">
      <c r="B206" s="96"/>
      <c r="C206" s="96"/>
    </row>
    <row r="207" spans="2:3" ht="12.75">
      <c r="B207" s="96"/>
      <c r="C207" s="96"/>
    </row>
    <row r="208" spans="2:3" ht="12.75">
      <c r="B208" s="96"/>
      <c r="C208" s="96"/>
    </row>
    <row r="209" spans="2:3" ht="12.75">
      <c r="B209" s="96"/>
      <c r="C209" s="96"/>
    </row>
    <row r="210" spans="2:3" ht="12.75">
      <c r="B210" s="96"/>
      <c r="C210" s="96"/>
    </row>
    <row r="211" spans="2:3" ht="12.75">
      <c r="B211" s="96"/>
      <c r="C211" s="96"/>
    </row>
    <row r="212" spans="2:3" ht="12.75">
      <c r="B212" s="96"/>
      <c r="C212" s="96"/>
    </row>
    <row r="213" spans="2:3" ht="12.75">
      <c r="B213" s="96"/>
      <c r="C213" s="96"/>
    </row>
    <row r="214" spans="2:3" ht="12.75">
      <c r="B214" s="96"/>
      <c r="C214" s="96"/>
    </row>
    <row r="215" spans="2:3" ht="12.75">
      <c r="B215" s="96"/>
      <c r="C215" s="96"/>
    </row>
    <row r="216" spans="2:3" ht="12.75">
      <c r="B216" s="96"/>
      <c r="C216" s="96"/>
    </row>
    <row r="217" spans="2:3" ht="12.75">
      <c r="B217" s="96"/>
      <c r="C217" s="96"/>
    </row>
    <row r="218" spans="2:3" ht="12.75">
      <c r="B218" s="96"/>
      <c r="C218" s="96"/>
    </row>
    <row r="219" spans="2:3" ht="12.75">
      <c r="B219" s="96"/>
      <c r="C219" s="96"/>
    </row>
    <row r="220" spans="2:3" ht="12.75">
      <c r="B220" s="96"/>
      <c r="C220" s="96"/>
    </row>
    <row r="221" spans="2:3" ht="12.75">
      <c r="B221" s="96"/>
      <c r="C221" s="96"/>
    </row>
    <row r="222" spans="2:3" ht="12.75">
      <c r="B222" s="96"/>
      <c r="C222" s="96"/>
    </row>
    <row r="223" spans="2:3" ht="12.75">
      <c r="B223" s="96"/>
      <c r="C223" s="96"/>
    </row>
    <row r="224" spans="2:3" ht="12.75">
      <c r="B224" s="96"/>
      <c r="C224" s="96"/>
    </row>
    <row r="225" spans="2:3" ht="12.75">
      <c r="B225" s="96"/>
      <c r="C225" s="96"/>
    </row>
    <row r="226" spans="2:3" ht="12.75">
      <c r="B226" s="96"/>
      <c r="C226" s="96"/>
    </row>
    <row r="227" spans="2:3" ht="12.75">
      <c r="B227" s="96"/>
      <c r="C227" s="96"/>
    </row>
    <row r="228" spans="2:3" ht="12.75">
      <c r="B228" s="96"/>
      <c r="C228" s="96"/>
    </row>
    <row r="229" spans="2:3" ht="12.75">
      <c r="B229" s="96"/>
      <c r="C229" s="96"/>
    </row>
    <row r="230" spans="2:3" ht="12.75">
      <c r="B230" s="96"/>
      <c r="C230" s="96"/>
    </row>
    <row r="231" spans="2:3" ht="12.75">
      <c r="B231" s="96"/>
      <c r="C231" s="96"/>
    </row>
    <row r="232" spans="2:3" ht="12.75">
      <c r="B232" s="96"/>
      <c r="C232" s="96"/>
    </row>
    <row r="233" spans="2:3" ht="12.75">
      <c r="B233" s="96"/>
      <c r="C233" s="96"/>
    </row>
    <row r="234" spans="2:3" ht="12.75">
      <c r="B234" s="96"/>
      <c r="C234" s="96"/>
    </row>
    <row r="235" spans="2:3" ht="12.75">
      <c r="B235" s="96"/>
      <c r="C235" s="96"/>
    </row>
    <row r="236" spans="2:3" ht="12.75">
      <c r="B236" s="96"/>
      <c r="C236" s="96"/>
    </row>
    <row r="237" spans="2:3" ht="12.75">
      <c r="B237" s="96"/>
      <c r="C237" s="96"/>
    </row>
    <row r="238" spans="2:3" ht="12.75">
      <c r="B238" s="96"/>
      <c r="C238" s="96"/>
    </row>
    <row r="239" spans="2:3" ht="12.75">
      <c r="B239" s="96"/>
      <c r="C239" s="96"/>
    </row>
    <row r="240" spans="2:3" ht="12.75">
      <c r="B240" s="96"/>
      <c r="C240" s="96"/>
    </row>
    <row r="241" spans="2:3" ht="12.75">
      <c r="B241" s="96"/>
      <c r="C241" s="96"/>
    </row>
    <row r="242" spans="2:3" ht="12.75">
      <c r="B242" s="96"/>
      <c r="C242" s="96"/>
    </row>
    <row r="243" spans="2:3" ht="12.75">
      <c r="B243" s="96"/>
      <c r="C243" s="96"/>
    </row>
    <row r="244" spans="2:3" ht="12.75">
      <c r="B244" s="96"/>
      <c r="C244" s="96"/>
    </row>
    <row r="245" spans="2:3" ht="12.75">
      <c r="B245" s="96"/>
      <c r="C245" s="96"/>
    </row>
    <row r="246" spans="2:3" ht="12.75">
      <c r="B246" s="96"/>
      <c r="C246" s="96"/>
    </row>
    <row r="247" spans="2:3" ht="12.75">
      <c r="B247" s="96"/>
      <c r="C247" s="96"/>
    </row>
    <row r="248" spans="2:3" ht="12.75">
      <c r="B248" s="96"/>
      <c r="C248" s="96"/>
    </row>
    <row r="249" spans="2:3" ht="12.75">
      <c r="B249" s="96"/>
      <c r="C249" s="96"/>
    </row>
    <row r="250" spans="2:3" ht="12.75">
      <c r="B250" s="96"/>
      <c r="C250" s="96"/>
    </row>
    <row r="251" spans="2:3" ht="12.75">
      <c r="B251" s="96"/>
      <c r="C251" s="96"/>
    </row>
    <row r="252" spans="2:3" ht="12.75">
      <c r="B252" s="96"/>
      <c r="C252" s="96"/>
    </row>
    <row r="253" spans="2:3" ht="12.75">
      <c r="B253" s="96"/>
      <c r="C253" s="96"/>
    </row>
    <row r="254" spans="2:3" ht="12.75">
      <c r="B254" s="96"/>
      <c r="C254" s="96"/>
    </row>
    <row r="255" spans="2:3" ht="12.75">
      <c r="B255" s="96"/>
      <c r="C255" s="96"/>
    </row>
    <row r="256" spans="2:3" ht="12.75">
      <c r="B256" s="96"/>
      <c r="C256" s="96"/>
    </row>
    <row r="257" spans="2:3" ht="12.75">
      <c r="B257" s="96"/>
      <c r="C257" s="96"/>
    </row>
    <row r="258" spans="2:3" ht="12.75">
      <c r="B258" s="96"/>
      <c r="C258" s="96"/>
    </row>
    <row r="259" spans="2:3" ht="12.75">
      <c r="B259" s="96"/>
      <c r="C259" s="96"/>
    </row>
    <row r="260" spans="2:3" ht="12.75">
      <c r="B260" s="96"/>
      <c r="C260" s="96"/>
    </row>
    <row r="261" spans="2:3" ht="12.75">
      <c r="B261" s="96"/>
      <c r="C261" s="96"/>
    </row>
    <row r="262" spans="2:3" ht="12.75">
      <c r="B262" s="96"/>
      <c r="C262" s="96"/>
    </row>
    <row r="263" spans="2:3" ht="12.75">
      <c r="B263" s="96"/>
      <c r="C263" s="96"/>
    </row>
    <row r="264" spans="2:3" ht="12.75">
      <c r="B264" s="96"/>
      <c r="C264" s="96"/>
    </row>
    <row r="265" spans="2:3" ht="12.75">
      <c r="B265" s="96"/>
      <c r="C265" s="96"/>
    </row>
    <row r="266" spans="2:3" ht="12.75">
      <c r="B266" s="96"/>
      <c r="C266" s="96"/>
    </row>
    <row r="267" spans="2:3" ht="12.75">
      <c r="B267" s="96"/>
      <c r="C267" s="96"/>
    </row>
    <row r="268" spans="2:3" ht="12.75">
      <c r="B268" s="96"/>
      <c r="C268" s="96"/>
    </row>
    <row r="269" spans="2:3" ht="12.75">
      <c r="B269" s="96"/>
      <c r="C269" s="96"/>
    </row>
    <row r="270" spans="2:3" ht="12.75">
      <c r="B270" s="96"/>
      <c r="C270" s="96"/>
    </row>
    <row r="271" spans="2:3" ht="12.75">
      <c r="B271" s="96"/>
      <c r="C271" s="96"/>
    </row>
    <row r="272" spans="2:3" ht="12.75">
      <c r="B272" s="96"/>
      <c r="C272" s="96"/>
    </row>
    <row r="273" spans="2:3" ht="12.75">
      <c r="B273" s="96"/>
      <c r="C273" s="96"/>
    </row>
    <row r="274" spans="2:3" ht="12.75">
      <c r="B274" s="96"/>
      <c r="C274" s="96"/>
    </row>
    <row r="275" spans="2:3" ht="12.75">
      <c r="B275" s="96"/>
      <c r="C275" s="96"/>
    </row>
    <row r="276" spans="2:3" ht="12.75">
      <c r="B276" s="96"/>
      <c r="C276" s="96"/>
    </row>
    <row r="277" spans="2:3" ht="12.75">
      <c r="B277" s="96"/>
      <c r="C277" s="96"/>
    </row>
    <row r="278" spans="2:3" ht="12.75">
      <c r="B278" s="96"/>
      <c r="C278" s="96"/>
    </row>
    <row r="279" spans="2:3" ht="12.75">
      <c r="B279" s="96"/>
      <c r="C279" s="96"/>
    </row>
    <row r="280" spans="2:3" ht="12.75">
      <c r="B280" s="96"/>
      <c r="C280" s="96"/>
    </row>
    <row r="281" spans="2:3" ht="12.75">
      <c r="B281" s="96"/>
      <c r="C281" s="96"/>
    </row>
    <row r="282" spans="2:3" ht="12.75">
      <c r="B282" s="96"/>
      <c r="C282" s="96"/>
    </row>
    <row r="283" spans="2:3" ht="12.75">
      <c r="B283" s="96"/>
      <c r="C283" s="96"/>
    </row>
    <row r="284" spans="2:3" ht="12.75">
      <c r="B284" s="96"/>
      <c r="C284" s="96"/>
    </row>
    <row r="285" spans="2:3" ht="12.75">
      <c r="B285" s="96"/>
      <c r="C285" s="96"/>
    </row>
    <row r="286" spans="2:3" ht="12.75">
      <c r="B286" s="96"/>
      <c r="C286" s="96"/>
    </row>
    <row r="287" spans="2:3" ht="12.75">
      <c r="B287" s="96"/>
      <c r="C287" s="96"/>
    </row>
    <row r="288" spans="2:3" ht="12.75">
      <c r="B288" s="96"/>
      <c r="C288" s="96"/>
    </row>
    <row r="289" spans="2:3" ht="12.75">
      <c r="B289" s="96"/>
      <c r="C289" s="96"/>
    </row>
    <row r="290" spans="2:3" ht="12.75">
      <c r="B290" s="96"/>
      <c r="C290" s="96"/>
    </row>
    <row r="291" spans="2:3" ht="12.75">
      <c r="B291" s="96"/>
      <c r="C291" s="96"/>
    </row>
    <row r="292" spans="2:3" ht="12.75">
      <c r="B292" s="96"/>
      <c r="C292" s="96"/>
    </row>
    <row r="293" spans="2:3" ht="12.75">
      <c r="B293" s="96"/>
      <c r="C293" s="96"/>
    </row>
    <row r="294" spans="2:3" ht="12.75">
      <c r="B294" s="96"/>
      <c r="C294" s="96"/>
    </row>
    <row r="295" spans="2:3" ht="12.75">
      <c r="B295" s="96"/>
      <c r="C295" s="96"/>
    </row>
    <row r="296" spans="2:3" ht="12.75">
      <c r="B296" s="96"/>
      <c r="C296" s="96"/>
    </row>
    <row r="297" spans="2:3" ht="12.75">
      <c r="B297" s="96"/>
      <c r="C297" s="96"/>
    </row>
    <row r="298" spans="2:3" ht="12.75">
      <c r="B298" s="96"/>
      <c r="C298" s="96"/>
    </row>
    <row r="299" spans="2:3" ht="12.75">
      <c r="B299" s="96"/>
      <c r="C299" s="96"/>
    </row>
    <row r="300" spans="2:3" ht="12.75">
      <c r="B300" s="96"/>
      <c r="C300" s="96"/>
    </row>
    <row r="301" spans="2:3" ht="12.75">
      <c r="B301" s="96"/>
      <c r="C301" s="96"/>
    </row>
    <row r="302" spans="2:3" ht="12.75">
      <c r="B302" s="96"/>
      <c r="C302" s="96"/>
    </row>
    <row r="303" spans="2:3" ht="12.75">
      <c r="B303" s="96"/>
      <c r="C303" s="96"/>
    </row>
    <row r="304" spans="2:3" ht="12.75">
      <c r="B304" s="96"/>
      <c r="C304" s="96"/>
    </row>
    <row r="305" spans="2:3" ht="12.75">
      <c r="B305" s="96"/>
      <c r="C305" s="96"/>
    </row>
    <row r="306" spans="2:3" ht="12.75">
      <c r="B306" s="96"/>
      <c r="C306" s="96"/>
    </row>
    <row r="307" spans="2:3" ht="12.75">
      <c r="B307" s="96"/>
      <c r="C307" s="96"/>
    </row>
    <row r="308" spans="2:3" ht="12.75">
      <c r="B308" s="96"/>
      <c r="C308" s="96"/>
    </row>
    <row r="309" spans="2:3" ht="12.75">
      <c r="B309" s="96"/>
      <c r="C309" s="96"/>
    </row>
    <row r="310" spans="2:3" ht="12.75">
      <c r="B310" s="96"/>
      <c r="C310" s="96"/>
    </row>
    <row r="311" spans="2:3" ht="12.75">
      <c r="B311" s="96"/>
      <c r="C311" s="96"/>
    </row>
    <row r="312" spans="2:3" ht="12.75">
      <c r="B312" s="96"/>
      <c r="C312" s="96"/>
    </row>
    <row r="313" spans="2:3" ht="12.75">
      <c r="B313" s="96"/>
      <c r="C313" s="96"/>
    </row>
    <row r="314" spans="2:3" ht="12.75">
      <c r="B314" s="96"/>
      <c r="C314" s="96"/>
    </row>
    <row r="315" spans="2:3" ht="12.75">
      <c r="B315" s="96"/>
      <c r="C315" s="96"/>
    </row>
    <row r="316" spans="2:3" ht="12.75">
      <c r="B316" s="96"/>
      <c r="C316" s="96"/>
    </row>
    <row r="317" spans="2:3" ht="12.75">
      <c r="B317" s="96"/>
      <c r="C317" s="96"/>
    </row>
    <row r="318" spans="2:3" ht="12.75">
      <c r="B318" s="96"/>
      <c r="C318" s="96"/>
    </row>
    <row r="319" spans="2:3" ht="12.75">
      <c r="B319" s="96"/>
      <c r="C319" s="96"/>
    </row>
    <row r="320" spans="2:3" ht="12.75">
      <c r="B320" s="96"/>
      <c r="C320" s="96"/>
    </row>
    <row r="321" spans="2:3" ht="12.75">
      <c r="B321" s="96"/>
      <c r="C321" s="96"/>
    </row>
    <row r="322" spans="2:3" ht="12.75">
      <c r="B322" s="96"/>
      <c r="C322" s="96"/>
    </row>
    <row r="323" spans="2:3" ht="12.75">
      <c r="B323" s="96"/>
      <c r="C323" s="96"/>
    </row>
    <row r="324" spans="2:3" ht="12.75">
      <c r="B324" s="96"/>
      <c r="C324" s="96"/>
    </row>
    <row r="325" spans="2:3" ht="12.75">
      <c r="B325" s="96"/>
      <c r="C325" s="96"/>
    </row>
    <row r="326" spans="2:3" ht="12.75">
      <c r="B326" s="96"/>
      <c r="C326" s="96"/>
    </row>
    <row r="327" spans="2:3" ht="12.75">
      <c r="B327" s="96"/>
      <c r="C327" s="96"/>
    </row>
    <row r="328" spans="2:3" ht="12.75">
      <c r="B328" s="96"/>
      <c r="C328" s="96"/>
    </row>
    <row r="329" spans="2:3" ht="12.75">
      <c r="B329" s="96"/>
      <c r="C329" s="96"/>
    </row>
    <row r="330" spans="2:3" ht="12.75">
      <c r="B330" s="96"/>
      <c r="C330" s="96"/>
    </row>
    <row r="331" spans="2:3" ht="12.75">
      <c r="B331" s="96"/>
      <c r="C331" s="96"/>
    </row>
    <row r="332" spans="2:3" ht="12.75">
      <c r="B332" s="96"/>
      <c r="C332" s="96"/>
    </row>
    <row r="333" spans="2:3" ht="12.75">
      <c r="B333" s="96"/>
      <c r="C333" s="96"/>
    </row>
    <row r="334" spans="2:3" ht="12.75">
      <c r="B334" s="96"/>
      <c r="C334" s="96"/>
    </row>
    <row r="335" spans="2:3" ht="12.75">
      <c r="B335" s="96"/>
      <c r="C335" s="96"/>
    </row>
    <row r="336" spans="2:3" ht="12.75">
      <c r="B336" s="96"/>
      <c r="C336" s="96"/>
    </row>
    <row r="337" spans="2:3" ht="12.75">
      <c r="B337" s="96"/>
      <c r="C337" s="96"/>
    </row>
    <row r="338" spans="2:3" ht="12.75">
      <c r="B338" s="96"/>
      <c r="C338" s="96"/>
    </row>
    <row r="339" spans="2:3" ht="12.75">
      <c r="B339" s="96"/>
      <c r="C339" s="96"/>
    </row>
    <row r="340" spans="2:3" ht="12.75">
      <c r="B340" s="96"/>
      <c r="C340" s="96"/>
    </row>
    <row r="341" spans="2:3" ht="12.75">
      <c r="B341" s="96"/>
      <c r="C341" s="96"/>
    </row>
    <row r="342" spans="2:3" ht="12.75">
      <c r="B342" s="96"/>
      <c r="C342" s="96"/>
    </row>
    <row r="343" spans="2:3" ht="12.75">
      <c r="B343" s="96"/>
      <c r="C343" s="96"/>
    </row>
    <row r="344" spans="2:3" ht="12.75">
      <c r="B344" s="96"/>
      <c r="C344" s="96"/>
    </row>
    <row r="345" spans="2:3" ht="12.75">
      <c r="B345" s="96"/>
      <c r="C345" s="96"/>
    </row>
    <row r="346" spans="2:3" ht="12.75">
      <c r="B346" s="96"/>
      <c r="C346" s="96"/>
    </row>
    <row r="347" spans="2:3" ht="12.75">
      <c r="B347" s="96"/>
      <c r="C347" s="96"/>
    </row>
    <row r="348" spans="2:3" ht="12.75">
      <c r="B348" s="96"/>
      <c r="C348" s="96"/>
    </row>
    <row r="349" spans="2:3" ht="12.75">
      <c r="B349" s="96"/>
      <c r="C349" s="96"/>
    </row>
    <row r="350" spans="2:3" ht="12.75">
      <c r="B350" s="96"/>
      <c r="C350" s="96"/>
    </row>
    <row r="351" spans="2:3" ht="12.75">
      <c r="B351" s="96"/>
      <c r="C351" s="96"/>
    </row>
    <row r="352" spans="2:3" ht="12.75">
      <c r="B352" s="96"/>
      <c r="C352" s="96"/>
    </row>
    <row r="353" spans="2:3" ht="12.75">
      <c r="B353" s="96"/>
      <c r="C353" s="96"/>
    </row>
    <row r="354" spans="2:3" ht="12.75">
      <c r="B354" s="96"/>
      <c r="C354" s="96"/>
    </row>
    <row r="355" spans="2:3" ht="12.75">
      <c r="B355" s="96"/>
      <c r="C355" s="96"/>
    </row>
    <row r="356" spans="2:3" ht="12.75">
      <c r="B356" s="96"/>
      <c r="C356" s="96"/>
    </row>
    <row r="357" spans="2:3" ht="12.75">
      <c r="B357" s="96"/>
      <c r="C357" s="96"/>
    </row>
    <row r="358" spans="2:3" ht="12.75">
      <c r="B358" s="96"/>
      <c r="C358" s="96"/>
    </row>
    <row r="359" spans="2:3" ht="12.75">
      <c r="B359" s="96"/>
      <c r="C359" s="96"/>
    </row>
    <row r="360" spans="2:3" ht="12.75">
      <c r="B360" s="96"/>
      <c r="C360" s="96"/>
    </row>
    <row r="361" spans="2:3" ht="12.75">
      <c r="B361" s="96"/>
      <c r="C361" s="96"/>
    </row>
    <row r="362" spans="2:3" ht="12.75">
      <c r="B362" s="96"/>
      <c r="C362" s="96"/>
    </row>
    <row r="363" spans="2:3" ht="12.75">
      <c r="B363" s="96"/>
      <c r="C363" s="96"/>
    </row>
    <row r="364" spans="2:3" ht="12.75">
      <c r="B364" s="96"/>
      <c r="C364" s="96"/>
    </row>
    <row r="365" spans="2:3" ht="12.75">
      <c r="B365" s="96"/>
      <c r="C365" s="96"/>
    </row>
    <row r="366" spans="2:3" ht="12.75">
      <c r="B366" s="96"/>
      <c r="C366" s="96"/>
    </row>
    <row r="367" spans="2:3" ht="12.75">
      <c r="B367" s="96"/>
      <c r="C367" s="96"/>
    </row>
    <row r="368" spans="2:3" ht="12.75">
      <c r="B368" s="96"/>
      <c r="C368" s="96"/>
    </row>
    <row r="369" spans="2:3" ht="12.75">
      <c r="B369" s="96"/>
      <c r="C369" s="96"/>
    </row>
    <row r="370" spans="2:3" ht="12.75">
      <c r="B370" s="96"/>
      <c r="C370" s="96"/>
    </row>
    <row r="371" spans="2:3" ht="12.75">
      <c r="B371" s="96"/>
      <c r="C371" s="96"/>
    </row>
    <row r="372" spans="2:3" ht="12.75">
      <c r="B372" s="96"/>
      <c r="C372" s="96"/>
    </row>
    <row r="373" spans="2:3" ht="12.75">
      <c r="B373" s="96"/>
      <c r="C373" s="96"/>
    </row>
    <row r="374" spans="2:3" ht="12.75">
      <c r="B374" s="96"/>
      <c r="C374" s="96"/>
    </row>
    <row r="375" spans="2:3" ht="12.75">
      <c r="B375" s="96"/>
      <c r="C375" s="96"/>
    </row>
    <row r="376" spans="2:3" ht="12.75">
      <c r="B376" s="96"/>
      <c r="C376" s="96"/>
    </row>
    <row r="377" spans="2:3" ht="12.75">
      <c r="B377" s="96"/>
      <c r="C377" s="96"/>
    </row>
    <row r="378" spans="2:3" ht="12.75">
      <c r="B378" s="96"/>
      <c r="C378" s="96"/>
    </row>
    <row r="379" spans="2:3" ht="12.75">
      <c r="B379" s="96"/>
      <c r="C379" s="96"/>
    </row>
    <row r="380" spans="2:3" ht="12.75">
      <c r="B380" s="96"/>
      <c r="C380" s="96"/>
    </row>
    <row r="381" spans="2:3" ht="12.75">
      <c r="B381" s="96"/>
      <c r="C381" s="96"/>
    </row>
    <row r="382" spans="2:3" ht="12.75">
      <c r="B382" s="96"/>
      <c r="C382" s="96"/>
    </row>
    <row r="383" spans="2:3" ht="12.75">
      <c r="B383" s="96"/>
      <c r="C383" s="96"/>
    </row>
    <row r="384" spans="2:3" ht="12.75">
      <c r="B384" s="96"/>
      <c r="C384" s="96"/>
    </row>
    <row r="385" spans="2:3" ht="12.75">
      <c r="B385" s="96"/>
      <c r="C385" s="96"/>
    </row>
    <row r="386" spans="2:3" ht="12.75">
      <c r="B386" s="96"/>
      <c r="C386" s="96"/>
    </row>
    <row r="387" spans="2:3" ht="12.75">
      <c r="B387" s="96"/>
      <c r="C387" s="96"/>
    </row>
    <row r="388" spans="2:3" ht="12.75">
      <c r="B388" s="96"/>
      <c r="C388" s="96"/>
    </row>
    <row r="389" spans="2:3" ht="12.75">
      <c r="B389" s="96"/>
      <c r="C389" s="96"/>
    </row>
    <row r="390" spans="2:3" ht="12.75">
      <c r="B390" s="96"/>
      <c r="C390" s="96"/>
    </row>
    <row r="391" spans="2:3" ht="12.75">
      <c r="B391" s="96"/>
      <c r="C391" s="96"/>
    </row>
    <row r="392" spans="2:3" ht="12.75">
      <c r="B392" s="96"/>
      <c r="C392" s="96"/>
    </row>
    <row r="393" spans="2:3" ht="12.75">
      <c r="B393" s="96"/>
      <c r="C393" s="96"/>
    </row>
    <row r="394" spans="2:3" ht="12.75">
      <c r="B394" s="96"/>
      <c r="C394" s="96"/>
    </row>
    <row r="395" spans="2:3" ht="12.75">
      <c r="B395" s="96"/>
      <c r="C395" s="96"/>
    </row>
    <row r="396" spans="2:3" ht="12.75">
      <c r="B396" s="96"/>
      <c r="C396" s="96"/>
    </row>
    <row r="397" spans="2:3" ht="12.75">
      <c r="B397" s="96"/>
      <c r="C397" s="96"/>
    </row>
    <row r="398" spans="2:3" ht="12.75">
      <c r="B398" s="96"/>
      <c r="C398" s="96"/>
    </row>
    <row r="399" spans="2:3" ht="12.75">
      <c r="B399" s="96"/>
      <c r="C399" s="96"/>
    </row>
    <row r="400" spans="2:3" ht="12.75">
      <c r="B400" s="96"/>
      <c r="C400" s="96"/>
    </row>
    <row r="401" spans="2:3" ht="12.75">
      <c r="B401" s="96"/>
      <c r="C401" s="96"/>
    </row>
    <row r="402" spans="2:3" ht="12.75">
      <c r="B402" s="96"/>
      <c r="C402" s="96"/>
    </row>
    <row r="403" spans="2:3" ht="12.75">
      <c r="B403" s="96"/>
      <c r="C403" s="96"/>
    </row>
    <row r="404" spans="2:3" ht="12.75">
      <c r="B404" s="96"/>
      <c r="C404" s="96"/>
    </row>
    <row r="405" spans="2:3" ht="12.75">
      <c r="B405" s="96"/>
      <c r="C405" s="96"/>
    </row>
    <row r="406" spans="2:3" ht="12.75">
      <c r="B406" s="96"/>
      <c r="C406" s="96"/>
    </row>
    <row r="407" spans="2:3" ht="12.75">
      <c r="B407" s="96"/>
      <c r="C407" s="96"/>
    </row>
    <row r="408" spans="2:3" ht="12.75">
      <c r="B408" s="96"/>
      <c r="C408" s="96"/>
    </row>
    <row r="409" spans="2:3" ht="12.75">
      <c r="B409" s="96"/>
      <c r="C409" s="96"/>
    </row>
    <row r="410" spans="2:3" ht="12.75">
      <c r="B410" s="96"/>
      <c r="C410" s="96"/>
    </row>
    <row r="411" spans="2:3" ht="12.75">
      <c r="B411" s="96"/>
      <c r="C411" s="96"/>
    </row>
    <row r="412" spans="2:3" ht="12.75">
      <c r="B412" s="96"/>
      <c r="C412" s="96"/>
    </row>
    <row r="413" spans="2:3" ht="12.75">
      <c r="B413" s="96"/>
      <c r="C413" s="96"/>
    </row>
    <row r="414" spans="2:3" ht="12.75">
      <c r="B414" s="96"/>
      <c r="C414" s="96"/>
    </row>
    <row r="415" spans="2:3" ht="12.75">
      <c r="B415" s="96"/>
      <c r="C415" s="96"/>
    </row>
    <row r="416" spans="2:3" ht="12.75">
      <c r="B416" s="96"/>
      <c r="C416" s="96"/>
    </row>
    <row r="417" spans="2:3" ht="12.75">
      <c r="B417" s="96"/>
      <c r="C417" s="96"/>
    </row>
    <row r="418" spans="2:3" ht="12.75">
      <c r="B418" s="96"/>
      <c r="C418" s="96"/>
    </row>
    <row r="419" spans="2:3" ht="12.75">
      <c r="B419" s="96"/>
      <c r="C419" s="96"/>
    </row>
    <row r="420" spans="2:3" ht="12.75">
      <c r="B420" s="96"/>
      <c r="C420" s="96"/>
    </row>
    <row r="421" spans="2:3" ht="12.75">
      <c r="B421" s="96"/>
      <c r="C421" s="96"/>
    </row>
    <row r="422" spans="2:3" ht="12.75">
      <c r="B422" s="96"/>
      <c r="C422" s="96"/>
    </row>
    <row r="423" spans="2:3" ht="12.75">
      <c r="B423" s="96"/>
      <c r="C423" s="96"/>
    </row>
    <row r="424" spans="2:3" ht="12.75">
      <c r="B424" s="96"/>
      <c r="C424" s="96"/>
    </row>
    <row r="425" spans="2:3" ht="12.75">
      <c r="B425" s="96"/>
      <c r="C425" s="96"/>
    </row>
    <row r="426" spans="2:3" ht="12.75">
      <c r="B426" s="96"/>
      <c r="C426" s="96"/>
    </row>
    <row r="427" spans="2:3" ht="12.75">
      <c r="B427" s="96"/>
      <c r="C427" s="96"/>
    </row>
    <row r="428" spans="2:3" ht="12.75">
      <c r="B428" s="96"/>
      <c r="C428" s="96"/>
    </row>
    <row r="429" spans="2:3" ht="12.75">
      <c r="B429" s="96"/>
      <c r="C429" s="96"/>
    </row>
    <row r="430" spans="2:3" ht="12.75">
      <c r="B430" s="96"/>
      <c r="C430" s="96"/>
    </row>
    <row r="431" spans="2:3" ht="12.75">
      <c r="B431" s="96"/>
      <c r="C431" s="96"/>
    </row>
    <row r="432" spans="2:3" ht="12.75">
      <c r="B432" s="96"/>
      <c r="C432" s="96"/>
    </row>
    <row r="433" spans="2:3" ht="12.75">
      <c r="B433" s="96"/>
      <c r="C433" s="96"/>
    </row>
    <row r="434" spans="2:3" ht="12.75">
      <c r="B434" s="96"/>
      <c r="C434" s="96"/>
    </row>
    <row r="435" spans="2:3" ht="12.75">
      <c r="B435" s="96"/>
      <c r="C435" s="96"/>
    </row>
    <row r="436" spans="2:3" ht="12.75">
      <c r="B436" s="96"/>
      <c r="C436" s="96"/>
    </row>
    <row r="437" spans="2:3" ht="12.75">
      <c r="B437" s="96"/>
      <c r="C437" s="96"/>
    </row>
    <row r="438" spans="2:3" ht="12.75">
      <c r="B438" s="96"/>
      <c r="C438" s="96"/>
    </row>
    <row r="439" spans="2:3" ht="12.75">
      <c r="B439" s="96"/>
      <c r="C439" s="96"/>
    </row>
    <row r="440" spans="2:3" ht="12.75">
      <c r="B440" s="96"/>
      <c r="C440" s="96"/>
    </row>
    <row r="441" spans="2:3" ht="12.75">
      <c r="B441" s="96"/>
      <c r="C441" s="96"/>
    </row>
    <row r="442" spans="2:3" ht="12.75">
      <c r="B442" s="96"/>
      <c r="C442" s="96"/>
    </row>
    <row r="443" spans="2:3" ht="12.75">
      <c r="B443" s="96"/>
      <c r="C443" s="96"/>
    </row>
    <row r="444" spans="2:3" ht="12.75">
      <c r="B444" s="96"/>
      <c r="C444" s="96"/>
    </row>
    <row r="445" spans="2:3" ht="12.75">
      <c r="B445" s="96"/>
      <c r="C445" s="96"/>
    </row>
    <row r="446" spans="2:3" ht="12.75">
      <c r="B446" s="96"/>
      <c r="C446" s="96"/>
    </row>
    <row r="447" spans="2:3" ht="12.75">
      <c r="B447" s="96"/>
      <c r="C447" s="96"/>
    </row>
    <row r="448" spans="2:3" ht="12.75">
      <c r="B448" s="96"/>
      <c r="C448" s="96"/>
    </row>
    <row r="449" spans="2:3" ht="12.75">
      <c r="B449" s="96"/>
      <c r="C449" s="96"/>
    </row>
    <row r="450" spans="2:3" ht="12.75">
      <c r="B450" s="96"/>
      <c r="C450" s="96"/>
    </row>
    <row r="451" spans="2:3" ht="12.75">
      <c r="B451" s="96"/>
      <c r="C451" s="96"/>
    </row>
    <row r="452" spans="2:3" ht="12.75">
      <c r="B452" s="96"/>
      <c r="C452" s="96"/>
    </row>
    <row r="453" spans="2:3" ht="12.75">
      <c r="B453" s="96"/>
      <c r="C453" s="96"/>
    </row>
    <row r="454" spans="2:3" ht="12.75">
      <c r="B454" s="96"/>
      <c r="C454" s="96"/>
    </row>
    <row r="455" spans="2:3" ht="12.75">
      <c r="B455" s="96"/>
      <c r="C455" s="96"/>
    </row>
    <row r="456" spans="2:3" ht="12.75">
      <c r="B456" s="96"/>
      <c r="C456" s="96"/>
    </row>
    <row r="457" spans="2:3" ht="12.75">
      <c r="B457" s="96"/>
      <c r="C457" s="96"/>
    </row>
    <row r="458" spans="2:3" ht="12.75">
      <c r="B458" s="96"/>
      <c r="C458" s="96"/>
    </row>
    <row r="459" spans="2:3" ht="12.75">
      <c r="B459" s="96"/>
      <c r="C459" s="96"/>
    </row>
    <row r="460" spans="2:3" ht="12.75">
      <c r="B460" s="96"/>
      <c r="C460" s="96"/>
    </row>
    <row r="461" spans="2:3" ht="12.75">
      <c r="B461" s="96"/>
      <c r="C461" s="96"/>
    </row>
    <row r="462" spans="2:3" ht="12.75">
      <c r="B462" s="96"/>
      <c r="C462" s="96"/>
    </row>
    <row r="463" spans="2:3" ht="12.75">
      <c r="B463" s="96"/>
      <c r="C463" s="96"/>
    </row>
    <row r="464" spans="2:3" ht="12.75">
      <c r="B464" s="96"/>
      <c r="C464" s="96"/>
    </row>
    <row r="465" spans="2:3" ht="12.75">
      <c r="B465" s="96"/>
      <c r="C465" s="96"/>
    </row>
    <row r="466" spans="2:3" ht="12.75">
      <c r="B466" s="96"/>
      <c r="C466" s="96"/>
    </row>
    <row r="467" spans="2:3" ht="12.75">
      <c r="B467" s="96"/>
      <c r="C467" s="96"/>
    </row>
    <row r="468" spans="2:3" ht="12.75">
      <c r="B468" s="96"/>
      <c r="C468" s="96"/>
    </row>
    <row r="469" spans="2:3" ht="12.75">
      <c r="B469" s="96"/>
      <c r="C469" s="96"/>
    </row>
    <row r="470" spans="2:3" ht="12.75">
      <c r="B470" s="96"/>
      <c r="C470" s="96"/>
    </row>
    <row r="471" spans="2:3" ht="12.75">
      <c r="B471" s="96"/>
      <c r="C471" s="96"/>
    </row>
    <row r="472" spans="2:3" ht="12.75">
      <c r="B472" s="96"/>
      <c r="C472" s="96"/>
    </row>
    <row r="473" spans="2:3" ht="12.75">
      <c r="B473" s="96"/>
      <c r="C473" s="96"/>
    </row>
    <row r="474" spans="2:3" ht="12.75">
      <c r="B474" s="96"/>
      <c r="C474" s="96"/>
    </row>
    <row r="475" spans="2:3" ht="12.75">
      <c r="B475" s="96"/>
      <c r="C475" s="96"/>
    </row>
    <row r="476" spans="2:3" ht="12.75">
      <c r="B476" s="96"/>
      <c r="C476" s="96"/>
    </row>
    <row r="477" spans="2:3" ht="12.75">
      <c r="B477" s="96"/>
      <c r="C477" s="96"/>
    </row>
    <row r="478" spans="2:3" ht="12.75">
      <c r="B478" s="96"/>
      <c r="C478" s="96"/>
    </row>
    <row r="479" spans="2:3" ht="12.75">
      <c r="B479" s="96"/>
      <c r="C479" s="96"/>
    </row>
    <row r="480" spans="2:3" ht="12.75">
      <c r="B480" s="96"/>
      <c r="C480" s="96"/>
    </row>
    <row r="481" spans="2:3" ht="12.75">
      <c r="B481" s="96"/>
      <c r="C481" s="96"/>
    </row>
    <row r="482" spans="2:3" ht="12.75">
      <c r="B482" s="96"/>
      <c r="C482" s="96"/>
    </row>
    <row r="483" spans="2:3" ht="12.75">
      <c r="B483" s="96"/>
      <c r="C483" s="96"/>
    </row>
    <row r="484" spans="2:3" ht="12.75">
      <c r="B484" s="96"/>
      <c r="C484" s="96"/>
    </row>
    <row r="485" spans="2:3" ht="12.75">
      <c r="B485" s="96"/>
      <c r="C485" s="96"/>
    </row>
    <row r="486" spans="2:3" ht="12.75">
      <c r="B486" s="96"/>
      <c r="C486" s="96"/>
    </row>
    <row r="487" spans="2:3" ht="12.75">
      <c r="B487" s="96"/>
      <c r="C487" s="96"/>
    </row>
    <row r="488" spans="2:3" ht="12.75">
      <c r="B488" s="96"/>
      <c r="C488" s="96"/>
    </row>
    <row r="489" spans="2:3" ht="12.75">
      <c r="B489" s="96"/>
      <c r="C489" s="96"/>
    </row>
    <row r="490" spans="2:3" ht="12.75">
      <c r="B490" s="96"/>
      <c r="C490" s="96"/>
    </row>
    <row r="491" spans="2:3" ht="12.75">
      <c r="B491" s="96"/>
      <c r="C491" s="96"/>
    </row>
    <row r="492" spans="2:3" ht="12.75">
      <c r="B492" s="96"/>
      <c r="C492" s="96"/>
    </row>
    <row r="493" spans="2:3" ht="12.75">
      <c r="B493" s="96"/>
      <c r="C493" s="96"/>
    </row>
    <row r="494" spans="2:3" ht="12.75">
      <c r="B494" s="96"/>
      <c r="C494" s="96"/>
    </row>
    <row r="495" spans="2:3" ht="12.75">
      <c r="B495" s="96"/>
      <c r="C495" s="96"/>
    </row>
    <row r="496" spans="2:3" ht="12.75">
      <c r="B496" s="96"/>
      <c r="C496" s="96"/>
    </row>
    <row r="497" spans="2:3" ht="12.75">
      <c r="B497" s="96"/>
      <c r="C497" s="96"/>
    </row>
    <row r="498" spans="2:3" ht="12.75">
      <c r="B498" s="96"/>
      <c r="C498" s="96"/>
    </row>
    <row r="499" spans="2:3" ht="12.75">
      <c r="B499" s="96"/>
      <c r="C499" s="96"/>
    </row>
    <row r="500" spans="2:3" ht="12.75">
      <c r="B500" s="96"/>
      <c r="C500" s="96"/>
    </row>
    <row r="501" spans="2:3" ht="12.75">
      <c r="B501" s="96"/>
      <c r="C501" s="96"/>
    </row>
    <row r="502" spans="2:3" ht="12.75">
      <c r="B502" s="96"/>
      <c r="C502" s="96"/>
    </row>
    <row r="503" spans="2:3" ht="12.75">
      <c r="B503" s="96"/>
      <c r="C503" s="96"/>
    </row>
    <row r="504" spans="2:3" ht="12.75">
      <c r="B504" s="96"/>
      <c r="C504" s="96"/>
    </row>
    <row r="505" spans="2:3" ht="12.75">
      <c r="B505" s="96"/>
      <c r="C505" s="96"/>
    </row>
    <row r="506" spans="2:3" ht="12.75">
      <c r="B506" s="96"/>
      <c r="C506" s="96"/>
    </row>
    <row r="507" spans="2:3" ht="12.75">
      <c r="B507" s="96"/>
      <c r="C507" s="96"/>
    </row>
    <row r="508" spans="2:3" ht="12.75">
      <c r="B508" s="96"/>
      <c r="C508" s="96"/>
    </row>
    <row r="509" spans="2:3" ht="12.75">
      <c r="B509" s="96"/>
      <c r="C509" s="96"/>
    </row>
    <row r="510" spans="2:3" ht="12.75">
      <c r="B510" s="96"/>
      <c r="C510" s="96"/>
    </row>
    <row r="511" spans="2:3" ht="12.75">
      <c r="B511" s="96"/>
      <c r="C511" s="96"/>
    </row>
    <row r="512" spans="2:3" ht="12.75">
      <c r="B512" s="96"/>
      <c r="C512" s="96"/>
    </row>
    <row r="513" spans="2:3" ht="12.75">
      <c r="B513" s="96"/>
      <c r="C513" s="96"/>
    </row>
    <row r="514" spans="2:3" ht="12.75">
      <c r="B514" s="96"/>
      <c r="C514" s="96"/>
    </row>
    <row r="515" spans="2:3" ht="12.75">
      <c r="B515" s="96"/>
      <c r="C515" s="96"/>
    </row>
    <row r="516" spans="2:3" ht="12.75">
      <c r="B516" s="96"/>
      <c r="C516" s="96"/>
    </row>
    <row r="517" spans="2:3" ht="12.75">
      <c r="B517" s="96"/>
      <c r="C517" s="96"/>
    </row>
    <row r="518" spans="2:3" ht="12.75">
      <c r="B518" s="96"/>
      <c r="C518" s="96"/>
    </row>
    <row r="519" spans="2:3" ht="12.75">
      <c r="B519" s="96"/>
      <c r="C519" s="96"/>
    </row>
    <row r="520" spans="2:3" ht="12.75">
      <c r="B520" s="96"/>
      <c r="C520" s="96"/>
    </row>
    <row r="521" spans="2:3" ht="12.75">
      <c r="B521" s="96"/>
      <c r="C521" s="96"/>
    </row>
    <row r="522" spans="2:3" ht="12.75">
      <c r="B522" s="96"/>
      <c r="C522" s="96"/>
    </row>
    <row r="523" spans="2:3" ht="12.75">
      <c r="B523" s="96"/>
      <c r="C523" s="96"/>
    </row>
    <row r="524" spans="2:3" ht="12.75">
      <c r="B524" s="96"/>
      <c r="C524" s="96"/>
    </row>
    <row r="525" spans="2:3" ht="12.75">
      <c r="B525" s="96"/>
      <c r="C525" s="96"/>
    </row>
    <row r="526" spans="2:3" ht="12.75">
      <c r="B526" s="96"/>
      <c r="C526" s="96"/>
    </row>
    <row r="527" spans="2:3" ht="12.75">
      <c r="B527" s="96"/>
      <c r="C527" s="96"/>
    </row>
    <row r="528" spans="2:3" ht="12.75">
      <c r="B528" s="96"/>
      <c r="C528" s="96"/>
    </row>
    <row r="529" spans="2:3" ht="12.75">
      <c r="B529" s="96"/>
      <c r="C529" s="96"/>
    </row>
    <row r="530" spans="2:3" ht="12.75">
      <c r="B530" s="96"/>
      <c r="C530" s="96"/>
    </row>
    <row r="531" spans="2:3" ht="12.75">
      <c r="B531" s="96"/>
      <c r="C531" s="96"/>
    </row>
    <row r="532" spans="2:3" ht="12.75">
      <c r="B532" s="96"/>
      <c r="C532" s="96"/>
    </row>
    <row r="533" spans="2:3" ht="12.75">
      <c r="B533" s="96"/>
      <c r="C533" s="96"/>
    </row>
    <row r="534" spans="2:3" ht="12.75">
      <c r="B534" s="96"/>
      <c r="C534" s="96"/>
    </row>
    <row r="535" spans="2:3" ht="12.75">
      <c r="B535" s="96"/>
      <c r="C535" s="96"/>
    </row>
    <row r="536" spans="2:3" ht="12.75">
      <c r="B536" s="96"/>
      <c r="C536" s="96"/>
    </row>
    <row r="537" spans="2:3" ht="12.75">
      <c r="B537" s="96"/>
      <c r="C537" s="96"/>
    </row>
    <row r="538" spans="2:3" ht="12.75">
      <c r="B538" s="96"/>
      <c r="C538" s="96"/>
    </row>
    <row r="539" spans="2:3" ht="12.75">
      <c r="B539" s="96"/>
      <c r="C539" s="96"/>
    </row>
    <row r="540" spans="2:3" ht="12.75">
      <c r="B540" s="96"/>
      <c r="C540" s="96"/>
    </row>
    <row r="541" spans="2:3" ht="12.75">
      <c r="B541" s="96"/>
      <c r="C541" s="96"/>
    </row>
    <row r="542" spans="2:3" ht="12.75">
      <c r="B542" s="96"/>
      <c r="C542" s="96"/>
    </row>
    <row r="543" spans="2:3" ht="12.75">
      <c r="B543" s="96"/>
      <c r="C543" s="96"/>
    </row>
    <row r="544" spans="2:3" ht="12.75">
      <c r="B544" s="96"/>
      <c r="C544" s="96"/>
    </row>
    <row r="545" spans="2:3" ht="12.75">
      <c r="B545" s="96"/>
      <c r="C545" s="96"/>
    </row>
    <row r="546" spans="2:3" ht="12.75">
      <c r="B546" s="96"/>
      <c r="C546" s="96"/>
    </row>
    <row r="547" spans="2:3" ht="12.75">
      <c r="B547" s="96"/>
      <c r="C547" s="96"/>
    </row>
    <row r="548" spans="2:3" ht="12.75">
      <c r="B548" s="96"/>
      <c r="C548" s="96"/>
    </row>
    <row r="549" spans="2:3" ht="12.75">
      <c r="B549" s="96"/>
      <c r="C549" s="96"/>
    </row>
    <row r="550" spans="2:3" ht="12.75">
      <c r="B550" s="96"/>
      <c r="C550" s="96"/>
    </row>
    <row r="551" spans="2:3" ht="12.75">
      <c r="B551" s="96"/>
      <c r="C551" s="96"/>
    </row>
    <row r="552" spans="2:3" ht="12.75">
      <c r="B552" s="96"/>
      <c r="C552" s="96"/>
    </row>
    <row r="553" spans="2:3" ht="12.75">
      <c r="B553" s="96"/>
      <c r="C553" s="96"/>
    </row>
    <row r="554" spans="2:3" ht="12.75">
      <c r="B554" s="96"/>
      <c r="C554" s="96"/>
    </row>
    <row r="555" spans="2:3" ht="12.75">
      <c r="B555" s="96"/>
      <c r="C555" s="96"/>
    </row>
    <row r="556" spans="2:3" ht="12.75">
      <c r="B556" s="96"/>
      <c r="C556" s="96"/>
    </row>
    <row r="557" spans="2:3" ht="12.75">
      <c r="B557" s="96"/>
      <c r="C557" s="96"/>
    </row>
    <row r="558" spans="2:3" ht="12.75">
      <c r="B558" s="96"/>
      <c r="C558" s="96"/>
    </row>
    <row r="559" spans="2:3" ht="12.75">
      <c r="B559" s="96"/>
      <c r="C559" s="96"/>
    </row>
    <row r="560" spans="2:3" ht="12.75">
      <c r="B560" s="96"/>
      <c r="C560" s="96"/>
    </row>
    <row r="561" spans="2:3" ht="12.75">
      <c r="B561" s="96"/>
      <c r="C561" s="96"/>
    </row>
    <row r="562" spans="2:3" ht="12.75">
      <c r="B562" s="96"/>
      <c r="C562" s="96"/>
    </row>
    <row r="563" spans="2:3" ht="12.75">
      <c r="B563" s="96"/>
      <c r="C563" s="96"/>
    </row>
    <row r="564" spans="2:3" ht="12.75">
      <c r="B564" s="96"/>
      <c r="C564" s="96"/>
    </row>
    <row r="565" spans="2:3" ht="12.75">
      <c r="B565" s="96"/>
      <c r="C565" s="96"/>
    </row>
    <row r="566" spans="2:3" ht="12.75">
      <c r="B566" s="96"/>
      <c r="C566" s="96"/>
    </row>
    <row r="567" spans="2:3" ht="12.75">
      <c r="B567" s="96"/>
      <c r="C567" s="96"/>
    </row>
    <row r="568" spans="2:3" ht="12.75">
      <c r="B568" s="96"/>
      <c r="C568" s="96"/>
    </row>
    <row r="569" spans="2:3" ht="12.75">
      <c r="B569" s="96"/>
      <c r="C569" s="96"/>
    </row>
    <row r="570" spans="2:3" ht="12.75">
      <c r="B570" s="96"/>
      <c r="C570" s="96"/>
    </row>
    <row r="571" spans="2:3" ht="12.75">
      <c r="B571" s="96"/>
      <c r="C571" s="96"/>
    </row>
    <row r="572" spans="2:3" ht="12.75">
      <c r="B572" s="96"/>
      <c r="C572" s="96"/>
    </row>
    <row r="573" spans="2:3" ht="12.75">
      <c r="B573" s="96"/>
      <c r="C573" s="96"/>
    </row>
    <row r="574" spans="2:3" ht="12.75">
      <c r="B574" s="96"/>
      <c r="C574" s="96"/>
    </row>
    <row r="575" spans="2:3" ht="12.75">
      <c r="B575" s="96"/>
      <c r="C575" s="96"/>
    </row>
    <row r="576" spans="2:3" ht="12.75">
      <c r="B576" s="96"/>
      <c r="C576" s="96"/>
    </row>
    <row r="577" spans="2:3" ht="12.75">
      <c r="B577" s="96"/>
      <c r="C577" s="96"/>
    </row>
    <row r="578" spans="2:3" ht="12.75">
      <c r="B578" s="96"/>
      <c r="C578" s="96"/>
    </row>
    <row r="579" spans="2:3" ht="12.75">
      <c r="B579" s="96"/>
      <c r="C579" s="96"/>
    </row>
    <row r="580" spans="2:3" ht="12.75">
      <c r="B580" s="96"/>
      <c r="C580" s="96"/>
    </row>
    <row r="581" spans="2:3" ht="12.75">
      <c r="B581" s="96"/>
      <c r="C581" s="96"/>
    </row>
    <row r="582" spans="2:3" ht="12.75">
      <c r="B582" s="96"/>
      <c r="C582" s="96"/>
    </row>
    <row r="583" spans="2:3" ht="12.75">
      <c r="B583" s="96"/>
      <c r="C583" s="96"/>
    </row>
    <row r="584" spans="2:3" ht="12.75">
      <c r="B584" s="96"/>
      <c r="C584" s="96"/>
    </row>
    <row r="585" spans="2:3" ht="12.75">
      <c r="B585" s="96"/>
      <c r="C585" s="96"/>
    </row>
    <row r="586" spans="2:3" ht="12.75">
      <c r="B586" s="96"/>
      <c r="C586" s="96"/>
    </row>
    <row r="587" spans="2:3" ht="12.75">
      <c r="B587" s="96"/>
      <c r="C587" s="96"/>
    </row>
    <row r="588" spans="2:3" ht="12.75">
      <c r="B588" s="96"/>
      <c r="C588" s="96"/>
    </row>
    <row r="589" spans="2:3" ht="12.75">
      <c r="B589" s="96"/>
      <c r="C589" s="96"/>
    </row>
    <row r="590" spans="2:3" ht="12.75">
      <c r="B590" s="96"/>
      <c r="C590" s="96"/>
    </row>
    <row r="591" spans="2:3" ht="12.75">
      <c r="B591" s="96"/>
      <c r="C591" s="96"/>
    </row>
    <row r="592" spans="2:3" ht="12.75">
      <c r="B592" s="96"/>
      <c r="C592" s="96"/>
    </row>
    <row r="593" spans="2:3" ht="12.75">
      <c r="B593" s="96"/>
      <c r="C593" s="96"/>
    </row>
    <row r="594" spans="2:3" ht="12.75">
      <c r="B594" s="96"/>
      <c r="C594" s="96"/>
    </row>
    <row r="595" spans="2:3" ht="12.75">
      <c r="B595" s="96"/>
      <c r="C595" s="96"/>
    </row>
    <row r="596" spans="2:3" ht="12.75">
      <c r="B596" s="96"/>
      <c r="C596" s="96"/>
    </row>
    <row r="597" spans="2:3" ht="12.75">
      <c r="B597" s="96"/>
      <c r="C597" s="96"/>
    </row>
    <row r="598" spans="2:3" ht="12.75">
      <c r="B598" s="96"/>
      <c r="C598" s="96"/>
    </row>
    <row r="599" spans="2:3" ht="12.75">
      <c r="B599" s="96"/>
      <c r="C599" s="96"/>
    </row>
    <row r="600" spans="2:3" ht="12.75">
      <c r="B600" s="96"/>
      <c r="C600" s="96"/>
    </row>
    <row r="601" spans="2:3" ht="12.75">
      <c r="B601" s="96"/>
      <c r="C601" s="96"/>
    </row>
    <row r="602" spans="2:3" ht="12.75">
      <c r="B602" s="96"/>
      <c r="C602" s="96"/>
    </row>
    <row r="603" spans="2:3" ht="12.75">
      <c r="B603" s="96"/>
      <c r="C603" s="96"/>
    </row>
    <row r="604" spans="2:3" ht="12.75">
      <c r="B604" s="96"/>
      <c r="C604" s="96"/>
    </row>
    <row r="605" spans="2:3" ht="12.75">
      <c r="B605" s="96"/>
      <c r="C605" s="96"/>
    </row>
    <row r="606" spans="2:3" ht="12.75">
      <c r="B606" s="96"/>
      <c r="C606" s="96"/>
    </row>
    <row r="607" spans="2:3" ht="12.75">
      <c r="B607" s="96"/>
      <c r="C607" s="96"/>
    </row>
    <row r="608" spans="2:3" ht="12.75">
      <c r="B608" s="96"/>
      <c r="C608" s="96"/>
    </row>
    <row r="609" spans="2:3" ht="12.75">
      <c r="B609" s="96"/>
      <c r="C609" s="96"/>
    </row>
    <row r="610" spans="2:3" ht="12.75">
      <c r="B610" s="96"/>
      <c r="C610" s="96"/>
    </row>
    <row r="611" spans="2:3" ht="12.75">
      <c r="B611" s="96"/>
      <c r="C611" s="96"/>
    </row>
    <row r="612" spans="2:3" ht="12.75">
      <c r="B612" s="96"/>
      <c r="C612" s="96"/>
    </row>
    <row r="613" spans="2:3" ht="12.75">
      <c r="B613" s="96"/>
      <c r="C613" s="96"/>
    </row>
    <row r="614" spans="2:3" ht="12.75">
      <c r="B614" s="96"/>
      <c r="C614" s="96"/>
    </row>
    <row r="615" spans="2:3" ht="12.75">
      <c r="B615" s="96"/>
      <c r="C615" s="96"/>
    </row>
    <row r="616" spans="2:3" ht="12.75">
      <c r="B616" s="96"/>
      <c r="C616" s="96"/>
    </row>
    <row r="617" spans="2:3" ht="12.75">
      <c r="B617" s="96"/>
      <c r="C617" s="96"/>
    </row>
    <row r="618" spans="2:3" ht="12.75">
      <c r="B618" s="96"/>
      <c r="C618" s="96"/>
    </row>
    <row r="619" spans="2:3" ht="12.75">
      <c r="B619" s="96"/>
      <c r="C619" s="96"/>
    </row>
    <row r="620" spans="2:3" ht="12.75">
      <c r="B620" s="96"/>
      <c r="C620" s="96"/>
    </row>
    <row r="621" spans="2:3" ht="12.75">
      <c r="B621" s="96"/>
      <c r="C621" s="96"/>
    </row>
    <row r="622" spans="2:3" ht="12.75">
      <c r="B622" s="96"/>
      <c r="C622" s="96"/>
    </row>
    <row r="623" spans="2:3" ht="12.75">
      <c r="B623" s="96"/>
      <c r="C623" s="96"/>
    </row>
    <row r="624" spans="2:3" ht="12.75">
      <c r="B624" s="96"/>
      <c r="C624" s="96"/>
    </row>
    <row r="625" spans="2:3" ht="12.75">
      <c r="B625" s="96"/>
      <c r="C625" s="96"/>
    </row>
    <row r="626" spans="2:3" ht="12.75">
      <c r="B626" s="96"/>
      <c r="C626" s="96"/>
    </row>
    <row r="627" spans="2:3" ht="12.75">
      <c r="B627" s="96"/>
      <c r="C627" s="96"/>
    </row>
    <row r="628" spans="2:3" ht="12.75">
      <c r="B628" s="96"/>
      <c r="C628" s="96"/>
    </row>
    <row r="629" spans="2:3" ht="12.75">
      <c r="B629" s="96"/>
      <c r="C629" s="96"/>
    </row>
    <row r="630" spans="2:3" ht="12.75">
      <c r="B630" s="96"/>
      <c r="C630" s="96"/>
    </row>
    <row r="631" spans="2:3" ht="12.75">
      <c r="B631" s="96"/>
      <c r="C631" s="96"/>
    </row>
    <row r="632" spans="2:3" ht="12.75">
      <c r="B632" s="96"/>
      <c r="C632" s="96"/>
    </row>
    <row r="633" spans="2:3" ht="12.75">
      <c r="B633" s="96"/>
      <c r="C633" s="96"/>
    </row>
    <row r="634" spans="2:3" ht="12.75">
      <c r="B634" s="96"/>
      <c r="C634" s="96"/>
    </row>
    <row r="635" spans="2:3" ht="12.75">
      <c r="B635" s="96"/>
      <c r="C635" s="96"/>
    </row>
    <row r="636" spans="2:3" ht="12.75">
      <c r="B636" s="96"/>
      <c r="C636" s="96"/>
    </row>
    <row r="637" spans="2:3" ht="12.75">
      <c r="B637" s="96"/>
      <c r="C637" s="96"/>
    </row>
    <row r="638" spans="2:3" ht="12.75">
      <c r="B638" s="96"/>
      <c r="C638" s="96"/>
    </row>
    <row r="639" spans="2:3" ht="12.75">
      <c r="B639" s="96"/>
      <c r="C639" s="96"/>
    </row>
    <row r="640" spans="2:3" ht="12.75">
      <c r="B640" s="96"/>
      <c r="C640" s="96"/>
    </row>
    <row r="641" spans="2:3" ht="12.75">
      <c r="B641" s="96"/>
      <c r="C641" s="96"/>
    </row>
    <row r="642" spans="2:3" ht="12.75">
      <c r="B642" s="96"/>
      <c r="C642" s="96"/>
    </row>
    <row r="643" spans="2:3" ht="12.75">
      <c r="B643" s="96"/>
      <c r="C643" s="96"/>
    </row>
    <row r="644" spans="2:3" ht="12.75">
      <c r="B644" s="96"/>
      <c r="C644" s="96"/>
    </row>
    <row r="645" spans="2:3" ht="12.75">
      <c r="B645" s="96"/>
      <c r="C645" s="96"/>
    </row>
    <row r="646" spans="2:3" ht="12.75">
      <c r="B646" s="96"/>
      <c r="C646" s="96"/>
    </row>
    <row r="647" spans="2:3" ht="12.75">
      <c r="B647" s="96"/>
      <c r="C647" s="96"/>
    </row>
    <row r="648" spans="2:3" ht="12.75">
      <c r="B648" s="96"/>
      <c r="C648" s="96"/>
    </row>
    <row r="649" spans="2:3" ht="12.75">
      <c r="B649" s="96"/>
      <c r="C649" s="96"/>
    </row>
    <row r="650" spans="2:3" ht="12.75">
      <c r="B650" s="96"/>
      <c r="C650" s="96"/>
    </row>
    <row r="651" spans="2:3" ht="12.75">
      <c r="B651" s="96"/>
      <c r="C651" s="96"/>
    </row>
    <row r="652" spans="2:3" ht="12.75">
      <c r="B652" s="96"/>
      <c r="C652" s="96"/>
    </row>
    <row r="653" spans="2:3" ht="12.75">
      <c r="B653" s="96"/>
      <c r="C653" s="96"/>
    </row>
    <row r="654" spans="2:3" ht="12.75">
      <c r="B654" s="96"/>
      <c r="C654" s="96"/>
    </row>
    <row r="655" spans="2:3" ht="12.75">
      <c r="B655" s="96"/>
      <c r="C655" s="96"/>
    </row>
    <row r="656" spans="2:3" ht="12.75">
      <c r="B656" s="96"/>
      <c r="C656" s="96"/>
    </row>
    <row r="657" spans="2:3" ht="12.75">
      <c r="B657" s="96"/>
      <c r="C657" s="96"/>
    </row>
    <row r="658" spans="2:3" ht="12.75">
      <c r="B658" s="96"/>
      <c r="C658" s="96"/>
    </row>
    <row r="659" spans="2:3" ht="12.75">
      <c r="B659" s="96"/>
      <c r="C659" s="96"/>
    </row>
    <row r="660" spans="2:3" ht="12.75">
      <c r="B660" s="96"/>
      <c r="C660" s="96"/>
    </row>
    <row r="661" spans="2:3" ht="12.75">
      <c r="B661" s="96"/>
      <c r="C661" s="96"/>
    </row>
    <row r="662" spans="2:3" ht="12.75">
      <c r="B662" s="96"/>
      <c r="C662" s="96"/>
    </row>
    <row r="663" spans="2:3" ht="12.75">
      <c r="B663" s="96"/>
      <c r="C663" s="96"/>
    </row>
    <row r="664" spans="2:3" ht="12.75">
      <c r="B664" s="96"/>
      <c r="C664" s="96"/>
    </row>
    <row r="665" spans="2:3" ht="12.75">
      <c r="B665" s="96"/>
      <c r="C665" s="96"/>
    </row>
    <row r="666" spans="2:3" ht="12.75">
      <c r="B666" s="96"/>
      <c r="C666" s="96"/>
    </row>
    <row r="667" spans="2:3" ht="12.75">
      <c r="B667" s="96"/>
      <c r="C667" s="96"/>
    </row>
    <row r="668" spans="2:3" ht="12.75">
      <c r="B668" s="96"/>
      <c r="C668" s="96"/>
    </row>
    <row r="669" spans="2:3" ht="12.75">
      <c r="B669" s="96"/>
      <c r="C669" s="96"/>
    </row>
    <row r="670" spans="2:3" ht="12.75">
      <c r="B670" s="96"/>
      <c r="C670" s="96"/>
    </row>
    <row r="671" spans="2:3" ht="12.75">
      <c r="B671" s="96"/>
      <c r="C671" s="96"/>
    </row>
    <row r="672" spans="2:3" ht="12.75">
      <c r="B672" s="96"/>
      <c r="C672" s="96"/>
    </row>
    <row r="673" spans="2:3" ht="12.75">
      <c r="B673" s="96"/>
      <c r="C673" s="96"/>
    </row>
    <row r="674" spans="2:3" ht="12.75">
      <c r="B674" s="96"/>
      <c r="C674" s="96"/>
    </row>
    <row r="675" spans="2:3" ht="12.75">
      <c r="B675" s="96"/>
      <c r="C675" s="96"/>
    </row>
    <row r="676" spans="2:3" ht="12.75">
      <c r="B676" s="96"/>
      <c r="C676" s="96"/>
    </row>
    <row r="677" spans="2:3" ht="12.75">
      <c r="B677" s="96"/>
      <c r="C677" s="96"/>
    </row>
    <row r="678" spans="2:3" ht="12.75">
      <c r="B678" s="96"/>
      <c r="C678" s="96"/>
    </row>
    <row r="679" spans="2:3" ht="12.75">
      <c r="B679" s="96"/>
      <c r="C679" s="96"/>
    </row>
    <row r="680" spans="2:3" ht="12.75">
      <c r="B680" s="96"/>
      <c r="C680" s="96"/>
    </row>
    <row r="681" spans="2:3" ht="12.75">
      <c r="B681" s="96"/>
      <c r="C681" s="96"/>
    </row>
    <row r="682" spans="2:3" ht="12.75">
      <c r="B682" s="96"/>
      <c r="C682" s="96"/>
    </row>
    <row r="683" spans="2:3" ht="12.75">
      <c r="B683" s="96"/>
      <c r="C683" s="96"/>
    </row>
    <row r="684" spans="2:3" ht="12.75">
      <c r="B684" s="96"/>
      <c r="C684" s="96"/>
    </row>
    <row r="685" spans="2:3" ht="12.75">
      <c r="B685" s="96"/>
      <c r="C685" s="96"/>
    </row>
    <row r="686" spans="2:3" ht="12.75">
      <c r="B686" s="96"/>
      <c r="C686" s="96"/>
    </row>
    <row r="687" spans="2:3" ht="12.75">
      <c r="B687" s="96"/>
      <c r="C687" s="96"/>
    </row>
    <row r="688" spans="2:3" ht="12.75">
      <c r="B688" s="96"/>
      <c r="C688" s="96"/>
    </row>
    <row r="689" spans="2:3" ht="12.75">
      <c r="B689" s="96"/>
      <c r="C689" s="96"/>
    </row>
    <row r="690" spans="2:3" ht="12.75">
      <c r="B690" s="96"/>
      <c r="C690" s="96"/>
    </row>
    <row r="691" spans="2:3" ht="12.75">
      <c r="B691" s="96"/>
      <c r="C691" s="96"/>
    </row>
    <row r="692" spans="2:3" ht="12.75">
      <c r="B692" s="96"/>
      <c r="C692" s="96"/>
    </row>
    <row r="693" spans="2:3" ht="12.75">
      <c r="B693" s="96"/>
      <c r="C693" s="96"/>
    </row>
    <row r="694" spans="2:3" ht="12.75">
      <c r="B694" s="96"/>
      <c r="C694" s="96"/>
    </row>
    <row r="695" spans="2:3" ht="12.75">
      <c r="B695" s="96"/>
      <c r="C695" s="96"/>
    </row>
    <row r="696" spans="2:3" ht="12.75">
      <c r="B696" s="96"/>
      <c r="C696" s="96"/>
    </row>
    <row r="697" spans="2:3" ht="12.75">
      <c r="B697" s="96"/>
      <c r="C697" s="96"/>
    </row>
    <row r="698" spans="2:3" ht="12.75">
      <c r="B698" s="96"/>
      <c r="C698" s="96"/>
    </row>
    <row r="699" spans="2:3" ht="12.75">
      <c r="B699" s="96"/>
      <c r="C699" s="96"/>
    </row>
    <row r="700" spans="2:3" ht="12.75">
      <c r="B700" s="96"/>
      <c r="C700" s="96"/>
    </row>
    <row r="701" spans="2:3" ht="12.75">
      <c r="B701" s="96"/>
      <c r="C701" s="96"/>
    </row>
    <row r="702" spans="2:3" ht="12.75">
      <c r="B702" s="96"/>
      <c r="C702" s="96"/>
    </row>
    <row r="703" spans="2:3" ht="12.75">
      <c r="B703" s="96"/>
      <c r="C703" s="96"/>
    </row>
    <row r="704" spans="2:3" ht="12.75">
      <c r="B704" s="96"/>
      <c r="C704" s="96"/>
    </row>
    <row r="705" spans="2:3" ht="12.75">
      <c r="B705" s="96"/>
      <c r="C705" s="96"/>
    </row>
    <row r="706" spans="2:3" ht="12.75">
      <c r="B706" s="96"/>
      <c r="C706" s="96"/>
    </row>
    <row r="707" spans="2:3" ht="12.75">
      <c r="B707" s="96"/>
      <c r="C707" s="96"/>
    </row>
    <row r="708" spans="2:3" ht="12.75">
      <c r="B708" s="96"/>
      <c r="C708" s="96"/>
    </row>
    <row r="709" spans="2:3" ht="12.75">
      <c r="B709" s="96"/>
      <c r="C709" s="96"/>
    </row>
    <row r="710" spans="2:3" ht="12.75">
      <c r="B710" s="96"/>
      <c r="C710" s="96"/>
    </row>
    <row r="711" spans="2:3" ht="12.75">
      <c r="B711" s="96"/>
      <c r="C711" s="96"/>
    </row>
    <row r="712" spans="2:3" ht="12.75">
      <c r="B712" s="96"/>
      <c r="C712" s="96"/>
    </row>
    <row r="713" spans="2:3" ht="12.75">
      <c r="B713" s="96"/>
      <c r="C713" s="96"/>
    </row>
    <row r="714" spans="2:3" ht="12.75">
      <c r="B714" s="96"/>
      <c r="C714" s="96"/>
    </row>
    <row r="715" spans="2:3" ht="12.75">
      <c r="B715" s="96"/>
      <c r="C715" s="96"/>
    </row>
    <row r="716" spans="2:3" ht="12.75">
      <c r="B716" s="96"/>
      <c r="C716" s="96"/>
    </row>
    <row r="717" spans="2:3" ht="12.75">
      <c r="B717" s="96"/>
      <c r="C717" s="96"/>
    </row>
    <row r="718" spans="2:3" ht="12.75">
      <c r="B718" s="96"/>
      <c r="C718" s="96"/>
    </row>
    <row r="719" spans="2:3" ht="12.75">
      <c r="B719" s="96"/>
      <c r="C719" s="96"/>
    </row>
    <row r="720" spans="2:3" ht="12.75">
      <c r="B720" s="96"/>
      <c r="C720" s="96"/>
    </row>
    <row r="721" spans="2:3" ht="12.75">
      <c r="B721" s="96"/>
      <c r="C721" s="96"/>
    </row>
    <row r="722" spans="2:3" ht="12.75">
      <c r="B722" s="96"/>
      <c r="C722" s="96"/>
    </row>
    <row r="723" spans="2:3" ht="12.75">
      <c r="B723" s="96"/>
      <c r="C723" s="96"/>
    </row>
    <row r="724" spans="2:3" ht="12.75">
      <c r="B724" s="96"/>
      <c r="C724" s="96"/>
    </row>
    <row r="725" spans="2:3" ht="12.75">
      <c r="B725" s="96"/>
      <c r="C725" s="96"/>
    </row>
    <row r="726" spans="2:3" ht="12.75">
      <c r="B726" s="96"/>
      <c r="C726" s="96"/>
    </row>
    <row r="727" spans="2:3" ht="12.75">
      <c r="B727" s="96"/>
      <c r="C727" s="96"/>
    </row>
    <row r="728" spans="2:3" ht="12.75">
      <c r="B728" s="96"/>
      <c r="C728" s="96"/>
    </row>
    <row r="729" spans="2:3" ht="12.75">
      <c r="B729" s="96"/>
      <c r="C729" s="96"/>
    </row>
    <row r="730" spans="2:3" ht="12.75">
      <c r="B730" s="96"/>
      <c r="C730" s="96"/>
    </row>
    <row r="731" spans="2:3" ht="12.75">
      <c r="B731" s="96"/>
      <c r="C731" s="96"/>
    </row>
    <row r="732" spans="2:3" ht="12.75">
      <c r="B732" s="96"/>
      <c r="C732" s="96"/>
    </row>
    <row r="733" spans="2:3" ht="12.75">
      <c r="B733" s="96"/>
      <c r="C733" s="96"/>
    </row>
    <row r="734" spans="2:3" ht="12.75">
      <c r="B734" s="96"/>
      <c r="C734" s="96"/>
    </row>
    <row r="735" spans="2:3" ht="12.75">
      <c r="B735" s="96"/>
      <c r="C735" s="96"/>
    </row>
    <row r="736" spans="2:3" ht="12.75">
      <c r="B736" s="96"/>
      <c r="C736" s="96"/>
    </row>
    <row r="737" spans="2:3" ht="12.75">
      <c r="B737" s="96"/>
      <c r="C737" s="96"/>
    </row>
    <row r="738" spans="2:3" ht="12.75">
      <c r="B738" s="96"/>
      <c r="C738" s="96"/>
    </row>
    <row r="739" spans="2:3" ht="12.75">
      <c r="B739" s="96"/>
      <c r="C739" s="96"/>
    </row>
    <row r="740" spans="2:3" ht="12.75">
      <c r="B740" s="96"/>
      <c r="C740" s="96"/>
    </row>
    <row r="741" spans="2:3" ht="12.75">
      <c r="B741" s="96"/>
      <c r="C741" s="96"/>
    </row>
    <row r="742" spans="2:3" ht="12.75">
      <c r="B742" s="96"/>
      <c r="C742" s="96"/>
    </row>
    <row r="743" spans="2:3" ht="12.75">
      <c r="B743" s="96"/>
      <c r="C743" s="96"/>
    </row>
    <row r="744" spans="2:3" ht="12.75">
      <c r="B744" s="96"/>
      <c r="C744" s="96"/>
    </row>
    <row r="745" spans="2:3" ht="12.75">
      <c r="B745" s="96"/>
      <c r="C745" s="96"/>
    </row>
    <row r="746" spans="2:3" ht="12.75">
      <c r="B746" s="96"/>
      <c r="C746" s="96"/>
    </row>
    <row r="747" spans="2:3" ht="12.75">
      <c r="B747" s="96"/>
      <c r="C747" s="96"/>
    </row>
    <row r="748" spans="2:3" ht="12.75">
      <c r="B748" s="96"/>
      <c r="C748" s="96"/>
    </row>
    <row r="749" spans="2:3" ht="12.75">
      <c r="B749" s="96"/>
      <c r="C749" s="96"/>
    </row>
    <row r="750" spans="2:3" ht="12.75">
      <c r="B750" s="96"/>
      <c r="C750" s="96"/>
    </row>
    <row r="751" spans="2:3" ht="12.75">
      <c r="B751" s="96"/>
      <c r="C751" s="96"/>
    </row>
    <row r="752" spans="2:3" ht="12.75">
      <c r="B752" s="96"/>
      <c r="C752" s="96"/>
    </row>
    <row r="753" spans="2:3" ht="12.75">
      <c r="B753" s="96"/>
      <c r="C753" s="96"/>
    </row>
    <row r="754" spans="2:3" ht="12.75">
      <c r="B754" s="96"/>
      <c r="C754" s="96"/>
    </row>
    <row r="755" spans="2:3" ht="12.75">
      <c r="B755" s="96"/>
      <c r="C755" s="96"/>
    </row>
    <row r="756" spans="2:3" ht="12.75">
      <c r="B756" s="96"/>
      <c r="C756" s="96"/>
    </row>
    <row r="757" spans="2:3" ht="12.75">
      <c r="B757" s="96"/>
      <c r="C757" s="96"/>
    </row>
    <row r="758" spans="2:3" ht="12.75">
      <c r="B758" s="96"/>
      <c r="C758" s="96"/>
    </row>
    <row r="759" spans="2:3" ht="12.75">
      <c r="B759" s="96"/>
      <c r="C759" s="96"/>
    </row>
    <row r="760" spans="2:3" ht="12.75">
      <c r="B760" s="96"/>
      <c r="C760" s="96"/>
    </row>
    <row r="761" spans="2:3" ht="12.75">
      <c r="B761" s="96"/>
      <c r="C761" s="96"/>
    </row>
    <row r="762" spans="2:3" ht="12.75">
      <c r="B762" s="96"/>
      <c r="C762" s="96"/>
    </row>
    <row r="763" spans="2:3" ht="12.75">
      <c r="B763" s="96"/>
      <c r="C763" s="96"/>
    </row>
    <row r="764" spans="2:3" ht="12.75">
      <c r="B764" s="96"/>
      <c r="C764" s="96"/>
    </row>
    <row r="765" spans="2:3" ht="12.75">
      <c r="B765" s="96"/>
      <c r="C765" s="96"/>
    </row>
    <row r="766" spans="2:3" ht="12.75">
      <c r="B766" s="96"/>
      <c r="C766" s="96"/>
    </row>
    <row r="767" spans="2:3" ht="12.75">
      <c r="B767" s="96"/>
      <c r="C767" s="96"/>
    </row>
    <row r="768" spans="2:3" ht="12.75">
      <c r="B768" s="96"/>
      <c r="C768" s="96"/>
    </row>
    <row r="769" spans="2:3" ht="12.75">
      <c r="B769" s="96"/>
      <c r="C769" s="96"/>
    </row>
    <row r="770" spans="2:3" ht="12.75">
      <c r="B770" s="96"/>
      <c r="C770" s="96"/>
    </row>
    <row r="771" spans="2:3" ht="12.75">
      <c r="B771" s="96"/>
      <c r="C771" s="96"/>
    </row>
    <row r="772" spans="2:3" ht="12.75">
      <c r="B772" s="96"/>
      <c r="C772" s="96"/>
    </row>
    <row r="773" spans="2:3" ht="12.75">
      <c r="B773" s="96"/>
      <c r="C773" s="96"/>
    </row>
    <row r="774" spans="2:3" ht="12.75">
      <c r="B774" s="96"/>
      <c r="C774" s="96"/>
    </row>
    <row r="775" spans="2:3" ht="12.75">
      <c r="B775" s="96"/>
      <c r="C775" s="96"/>
    </row>
    <row r="776" spans="2:3" ht="12.75">
      <c r="B776" s="96"/>
      <c r="C776" s="96"/>
    </row>
    <row r="777" spans="2:3" ht="12.75">
      <c r="B777" s="96"/>
      <c r="C777" s="96"/>
    </row>
    <row r="778" spans="2:3" ht="12.75">
      <c r="B778" s="96"/>
      <c r="C778" s="96"/>
    </row>
    <row r="779" spans="2:3" ht="12.75">
      <c r="B779" s="96"/>
      <c r="C779" s="96"/>
    </row>
    <row r="780" spans="2:3" ht="12.75">
      <c r="B780" s="96"/>
      <c r="C780" s="96"/>
    </row>
    <row r="781" spans="2:3" ht="12.75">
      <c r="B781" s="96"/>
      <c r="C781" s="96"/>
    </row>
    <row r="782" spans="2:3" ht="12.75">
      <c r="B782" s="96"/>
      <c r="C782" s="96"/>
    </row>
    <row r="783" spans="2:3" ht="12.75">
      <c r="B783" s="96"/>
      <c r="C783" s="96"/>
    </row>
    <row r="784" spans="2:3" ht="12.75">
      <c r="B784" s="96"/>
      <c r="C784" s="96"/>
    </row>
    <row r="785" spans="2:3" ht="12.75">
      <c r="B785" s="96"/>
      <c r="C785" s="96"/>
    </row>
    <row r="786" spans="2:3" ht="12.75">
      <c r="B786" s="96"/>
      <c r="C786" s="96"/>
    </row>
    <row r="787" spans="2:3" ht="12.75">
      <c r="B787" s="96"/>
      <c r="C787" s="96"/>
    </row>
    <row r="788" spans="2:3" ht="12.75">
      <c r="B788" s="96"/>
      <c r="C788" s="96"/>
    </row>
    <row r="789" spans="2:3" ht="12.75">
      <c r="B789" s="96"/>
      <c r="C789" s="96"/>
    </row>
    <row r="790" spans="2:3" ht="12.75">
      <c r="B790" s="96"/>
      <c r="C790" s="96"/>
    </row>
    <row r="791" spans="2:3" ht="12.75">
      <c r="B791" s="96"/>
      <c r="C791" s="96"/>
    </row>
    <row r="792" spans="2:3" ht="12.75">
      <c r="B792" s="96"/>
      <c r="C792" s="96"/>
    </row>
    <row r="793" spans="2:3" ht="12.75">
      <c r="B793" s="96"/>
      <c r="C793" s="96"/>
    </row>
    <row r="794" spans="2:3" ht="12.75">
      <c r="B794" s="96"/>
      <c r="C794" s="96"/>
    </row>
    <row r="795" spans="2:3" ht="12.75">
      <c r="B795" s="96"/>
      <c r="C795" s="96"/>
    </row>
    <row r="796" spans="2:3" ht="12.75">
      <c r="B796" s="96"/>
      <c r="C796" s="96"/>
    </row>
    <row r="797" spans="2:3" ht="12.75">
      <c r="B797" s="96"/>
      <c r="C797" s="96"/>
    </row>
    <row r="798" spans="2:3" ht="12.75">
      <c r="B798" s="96"/>
      <c r="C798" s="96"/>
    </row>
    <row r="799" spans="2:3" ht="12.75">
      <c r="B799" s="96"/>
      <c r="C799" s="96"/>
    </row>
    <row r="800" spans="2:3" ht="12.75">
      <c r="B800" s="96"/>
      <c r="C800" s="96"/>
    </row>
    <row r="801" spans="2:3" ht="12.75">
      <c r="B801" s="96"/>
      <c r="C801" s="96"/>
    </row>
    <row r="802" spans="2:3" ht="12.75">
      <c r="B802" s="96"/>
      <c r="C802" s="96"/>
    </row>
    <row r="803" spans="2:3" ht="12.75">
      <c r="B803" s="96"/>
      <c r="C803" s="96"/>
    </row>
    <row r="804" spans="2:3" ht="12.75">
      <c r="B804" s="96"/>
      <c r="C804" s="96"/>
    </row>
    <row r="805" spans="2:3" ht="12.75">
      <c r="B805" s="96"/>
      <c r="C805" s="96"/>
    </row>
    <row r="806" spans="2:3" ht="12.75">
      <c r="B806" s="96"/>
      <c r="C806" s="96"/>
    </row>
    <row r="807" spans="2:3" ht="12.75">
      <c r="B807" s="96"/>
      <c r="C807" s="96"/>
    </row>
    <row r="808" spans="2:3" ht="12.75">
      <c r="B808" s="96"/>
      <c r="C808" s="96"/>
    </row>
    <row r="809" spans="2:3" ht="12.75">
      <c r="B809" s="96"/>
      <c r="C809" s="96"/>
    </row>
    <row r="810" spans="2:3" ht="12.75">
      <c r="B810" s="96"/>
      <c r="C810" s="96"/>
    </row>
    <row r="811" spans="2:3" ht="12.75">
      <c r="B811" s="96"/>
      <c r="C811" s="96"/>
    </row>
    <row r="812" spans="2:3" ht="12.75">
      <c r="B812" s="96"/>
      <c r="C812" s="96"/>
    </row>
    <row r="813" spans="2:3" ht="12.75">
      <c r="B813" s="96"/>
      <c r="C813" s="96"/>
    </row>
    <row r="814" spans="2:3" ht="12.75">
      <c r="B814" s="96"/>
      <c r="C814" s="96"/>
    </row>
    <row r="815" spans="2:3" ht="12.75">
      <c r="B815" s="96"/>
      <c r="C815" s="96"/>
    </row>
    <row r="816" spans="2:3" ht="12.75">
      <c r="B816" s="96"/>
      <c r="C816" s="96"/>
    </row>
    <row r="817" spans="2:3" ht="12.75">
      <c r="B817" s="96"/>
      <c r="C817" s="96"/>
    </row>
    <row r="818" spans="2:3" ht="12.75">
      <c r="B818" s="96"/>
      <c r="C818" s="96"/>
    </row>
    <row r="819" spans="2:3" ht="12.75">
      <c r="B819" s="96"/>
      <c r="C819" s="96"/>
    </row>
    <row r="820" spans="2:3" ht="12.75">
      <c r="B820" s="96"/>
      <c r="C820" s="96"/>
    </row>
    <row r="821" spans="2:3" ht="12.75">
      <c r="B821" s="96"/>
      <c r="C821" s="96"/>
    </row>
    <row r="822" spans="2:3" ht="12.75">
      <c r="B822" s="96"/>
      <c r="C822" s="96"/>
    </row>
    <row r="823" spans="2:3" ht="12.75">
      <c r="B823" s="96"/>
      <c r="C823" s="96"/>
    </row>
    <row r="824" spans="2:3" ht="12.75">
      <c r="B824" s="96"/>
      <c r="C824" s="96"/>
    </row>
    <row r="825" spans="2:3" ht="12.75">
      <c r="B825" s="96"/>
      <c r="C825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2.125" style="2" bestFit="1" customWidth="1"/>
    <col min="2" max="2" width="28.25390625" style="0" customWidth="1"/>
    <col min="3" max="3" width="25.125" style="0" bestFit="1" customWidth="1"/>
    <col min="4" max="4" width="11.375" style="0" customWidth="1"/>
  </cols>
  <sheetData>
    <row r="1" spans="1:4" ht="37.5">
      <c r="A1" s="130" t="s">
        <v>274</v>
      </c>
      <c r="B1" s="130" t="s">
        <v>230</v>
      </c>
      <c r="C1" s="130" t="s">
        <v>231</v>
      </c>
      <c r="D1" s="130" t="s">
        <v>246</v>
      </c>
    </row>
    <row r="2" spans="1:8" ht="18.75">
      <c r="A2" s="133">
        <v>1</v>
      </c>
      <c r="B2" s="140" t="s">
        <v>37</v>
      </c>
      <c r="C2" s="140" t="s">
        <v>264</v>
      </c>
      <c r="D2" s="134">
        <f>'Amazonok és Titánok'!C25</f>
        <v>472.125</v>
      </c>
      <c r="E2" s="94" t="s">
        <v>300</v>
      </c>
      <c r="H2" s="94" t="s">
        <v>252</v>
      </c>
    </row>
    <row r="3" spans="1:8" ht="18.75">
      <c r="A3" s="133">
        <f aca="true" t="shared" si="0" ref="A3:A66">A2+1</f>
        <v>2</v>
      </c>
      <c r="B3" s="140" t="s">
        <v>38</v>
      </c>
      <c r="C3" s="140" t="s">
        <v>264</v>
      </c>
      <c r="D3" s="134">
        <f>'Amazonok és Titánok'!D25</f>
        <v>469.6</v>
      </c>
      <c r="E3" s="94" t="s">
        <v>300</v>
      </c>
      <c r="H3" s="124" t="s">
        <v>253</v>
      </c>
    </row>
    <row r="4" spans="1:5" ht="18.75">
      <c r="A4" s="133">
        <f t="shared" si="0"/>
        <v>3</v>
      </c>
      <c r="B4" s="140" t="s">
        <v>91</v>
      </c>
      <c r="C4" s="140" t="s">
        <v>260</v>
      </c>
      <c r="D4" s="134">
        <f>Gumigyár!D25</f>
        <v>468.06666666666666</v>
      </c>
      <c r="E4" s="94" t="s">
        <v>300</v>
      </c>
    </row>
    <row r="5" spans="1:8" ht="18.75">
      <c r="A5" s="133">
        <f t="shared" si="0"/>
        <v>4</v>
      </c>
      <c r="B5" s="140" t="s">
        <v>219</v>
      </c>
      <c r="C5" s="140" t="s">
        <v>226</v>
      </c>
      <c r="D5" s="134">
        <f>Santé!K25</f>
        <v>449.77777777777777</v>
      </c>
      <c r="E5" t="s">
        <v>301</v>
      </c>
      <c r="G5" s="132"/>
      <c r="H5" s="253"/>
    </row>
    <row r="6" spans="1:5" ht="18.75">
      <c r="A6" s="133">
        <f t="shared" si="0"/>
        <v>5</v>
      </c>
      <c r="B6" s="140" t="s">
        <v>201</v>
      </c>
      <c r="C6" s="140" t="s">
        <v>211</v>
      </c>
      <c r="D6" s="134">
        <f>'Fa-Team'!J25</f>
        <v>449.6923076923077</v>
      </c>
      <c r="E6" t="s">
        <v>301</v>
      </c>
    </row>
    <row r="7" spans="1:5" ht="18.75">
      <c r="A7" s="133">
        <f t="shared" si="0"/>
        <v>6</v>
      </c>
      <c r="B7" s="141" t="s">
        <v>258</v>
      </c>
      <c r="C7" s="141" t="s">
        <v>229</v>
      </c>
      <c r="D7" s="134">
        <f>GLB!G25</f>
        <v>446.26666666666665</v>
      </c>
      <c r="E7" t="s">
        <v>301</v>
      </c>
    </row>
    <row r="8" spans="1:5" ht="18.75">
      <c r="A8" s="133">
        <f t="shared" si="0"/>
        <v>7</v>
      </c>
      <c r="B8" s="140" t="s">
        <v>90</v>
      </c>
      <c r="C8" s="140" t="s">
        <v>260</v>
      </c>
      <c r="D8" s="134">
        <f>Gumigyár!C25</f>
        <v>445.375</v>
      </c>
      <c r="E8" t="s">
        <v>301</v>
      </c>
    </row>
    <row r="9" spans="1:5" ht="18.75">
      <c r="A9" s="133">
        <f t="shared" si="0"/>
        <v>8</v>
      </c>
      <c r="B9" s="140" t="s">
        <v>134</v>
      </c>
      <c r="C9" s="140" t="s">
        <v>211</v>
      </c>
      <c r="D9" s="134">
        <f>'Fa-Team'!K25</f>
        <v>443.9230769230769</v>
      </c>
      <c r="E9" t="s">
        <v>301</v>
      </c>
    </row>
    <row r="10" spans="1:5" ht="18.75">
      <c r="A10" s="133">
        <f t="shared" si="0"/>
        <v>9</v>
      </c>
      <c r="B10" s="140" t="s">
        <v>269</v>
      </c>
      <c r="C10" s="140" t="s">
        <v>207</v>
      </c>
      <c r="D10" s="134">
        <f>Kalmár!M25</f>
        <v>443.375</v>
      </c>
      <c r="E10" t="s">
        <v>301</v>
      </c>
    </row>
    <row r="11" spans="1:5" ht="18.75">
      <c r="A11" s="133">
        <f t="shared" si="0"/>
        <v>10</v>
      </c>
      <c r="B11" s="274" t="s">
        <v>298</v>
      </c>
      <c r="C11" s="272" t="s">
        <v>263</v>
      </c>
      <c r="D11" s="273">
        <f>'Vörös Ördögök'!J25</f>
        <v>442</v>
      </c>
      <c r="E11" t="s">
        <v>301</v>
      </c>
    </row>
    <row r="12" spans="1:5" ht="18.75">
      <c r="A12" s="133">
        <f t="shared" si="0"/>
        <v>11</v>
      </c>
      <c r="B12" s="140" t="s">
        <v>107</v>
      </c>
      <c r="C12" s="140" t="s">
        <v>207</v>
      </c>
      <c r="D12" s="134">
        <f>Kalmár!F25</f>
        <v>440.1333333333333</v>
      </c>
      <c r="E12" t="s">
        <v>301</v>
      </c>
    </row>
    <row r="13" spans="1:5" ht="18.75">
      <c r="A13" s="133">
        <f t="shared" si="0"/>
        <v>12</v>
      </c>
      <c r="B13" s="140" t="s">
        <v>135</v>
      </c>
      <c r="C13" s="140" t="s">
        <v>207</v>
      </c>
      <c r="D13" s="134">
        <f>Kalmár!J25</f>
        <v>439.75</v>
      </c>
      <c r="E13" t="s">
        <v>301</v>
      </c>
    </row>
    <row r="14" spans="1:5" ht="18.75">
      <c r="A14" s="133">
        <f t="shared" si="0"/>
        <v>13</v>
      </c>
      <c r="B14" s="140" t="s">
        <v>71</v>
      </c>
      <c r="C14" s="140" t="s">
        <v>226</v>
      </c>
      <c r="D14" s="134">
        <f>Santé!C25</f>
        <v>439.75</v>
      </c>
      <c r="E14" t="s">
        <v>301</v>
      </c>
    </row>
    <row r="15" spans="1:5" ht="18.75">
      <c r="A15" s="133">
        <f t="shared" si="0"/>
        <v>14</v>
      </c>
      <c r="B15" s="140" t="s">
        <v>64</v>
      </c>
      <c r="C15" s="140" t="s">
        <v>20</v>
      </c>
      <c r="D15" s="134">
        <f>Szefo!C25</f>
        <v>438.8125</v>
      </c>
      <c r="E15" t="s">
        <v>301</v>
      </c>
    </row>
    <row r="16" spans="1:5" ht="18.75">
      <c r="A16" s="133">
        <f t="shared" si="0"/>
        <v>15</v>
      </c>
      <c r="B16" s="140" t="s">
        <v>131</v>
      </c>
      <c r="C16" s="140" t="s">
        <v>26</v>
      </c>
      <c r="D16" s="134">
        <f>Kinizsi!J25</f>
        <v>438.35714285714283</v>
      </c>
      <c r="E16" t="s">
        <v>301</v>
      </c>
    </row>
    <row r="17" spans="1:5" ht="18.75">
      <c r="A17" s="133">
        <f t="shared" si="0"/>
        <v>16</v>
      </c>
      <c r="B17" s="140" t="s">
        <v>121</v>
      </c>
      <c r="C17" s="140" t="s">
        <v>15</v>
      </c>
      <c r="D17" s="134">
        <f>Tápé!L25</f>
        <v>438.2</v>
      </c>
      <c r="E17" t="s">
        <v>301</v>
      </c>
    </row>
    <row r="18" spans="1:5" ht="18.75">
      <c r="A18" s="133">
        <f t="shared" si="0"/>
        <v>17</v>
      </c>
      <c r="B18" s="140" t="s">
        <v>44</v>
      </c>
      <c r="C18" s="140" t="s">
        <v>26</v>
      </c>
      <c r="D18" s="134">
        <f>Kinizsi!G25</f>
        <v>437.125</v>
      </c>
      <c r="E18" t="s">
        <v>301</v>
      </c>
    </row>
    <row r="19" spans="1:8" ht="18.75">
      <c r="A19" s="133">
        <f t="shared" si="0"/>
        <v>18</v>
      </c>
      <c r="B19" s="140" t="s">
        <v>181</v>
      </c>
      <c r="C19" s="140" t="s">
        <v>207</v>
      </c>
      <c r="D19" s="134">
        <f>Kalmár!K25</f>
        <v>436.9230769230769</v>
      </c>
      <c r="E19" t="s">
        <v>301</v>
      </c>
      <c r="G19" s="132"/>
      <c r="H19" s="253"/>
    </row>
    <row r="20" spans="1:9" ht="18.75">
      <c r="A20" s="133">
        <f t="shared" si="0"/>
        <v>19</v>
      </c>
      <c r="B20" s="140" t="s">
        <v>130</v>
      </c>
      <c r="C20" s="140" t="s">
        <v>15</v>
      </c>
      <c r="D20" s="134">
        <f>Tápé!I25</f>
        <v>435.1333333333333</v>
      </c>
      <c r="E20" t="s">
        <v>301</v>
      </c>
      <c r="I20" s="253"/>
    </row>
    <row r="21" spans="1:9" ht="18.75">
      <c r="A21" s="133">
        <f t="shared" si="0"/>
        <v>20</v>
      </c>
      <c r="B21" s="140" t="s">
        <v>42</v>
      </c>
      <c r="C21" s="140" t="s">
        <v>26</v>
      </c>
      <c r="D21" s="134">
        <f>Kinizsi!E25</f>
        <v>434.8666666666667</v>
      </c>
      <c r="E21" t="s">
        <v>301</v>
      </c>
      <c r="I21" s="253"/>
    </row>
    <row r="22" spans="1:9" ht="18.75">
      <c r="A22" s="133">
        <f t="shared" si="0"/>
        <v>21</v>
      </c>
      <c r="B22" s="140" t="s">
        <v>94</v>
      </c>
      <c r="C22" s="140" t="s">
        <v>260</v>
      </c>
      <c r="D22" s="134">
        <f>Gumigyár!G25</f>
        <v>434.625</v>
      </c>
      <c r="E22" s="94" t="s">
        <v>300</v>
      </c>
      <c r="I22" s="253"/>
    </row>
    <row r="23" spans="1:9" ht="18.75">
      <c r="A23" s="133">
        <f t="shared" si="0"/>
        <v>22</v>
      </c>
      <c r="B23" s="140" t="s">
        <v>75</v>
      </c>
      <c r="C23" s="140" t="s">
        <v>226</v>
      </c>
      <c r="D23" s="134">
        <f>Santé!G25</f>
        <v>434.0769230769231</v>
      </c>
      <c r="E23" t="s">
        <v>301</v>
      </c>
      <c r="I23" s="253"/>
    </row>
    <row r="24" spans="1:9" ht="18.75">
      <c r="A24" s="133">
        <f t="shared" si="0"/>
        <v>23</v>
      </c>
      <c r="B24" s="140" t="s">
        <v>110</v>
      </c>
      <c r="C24" s="140" t="s">
        <v>26</v>
      </c>
      <c r="D24" s="134">
        <f>Kinizsi!I25</f>
        <v>433.6</v>
      </c>
      <c r="E24" t="s">
        <v>301</v>
      </c>
      <c r="I24" s="253"/>
    </row>
    <row r="25" spans="1:9" ht="18.75">
      <c r="A25" s="133">
        <f t="shared" si="0"/>
        <v>24</v>
      </c>
      <c r="B25" s="140" t="s">
        <v>53</v>
      </c>
      <c r="C25" s="140" t="s">
        <v>209</v>
      </c>
      <c r="D25" s="134">
        <f>Euroteke!I25</f>
        <v>433.25</v>
      </c>
      <c r="E25" s="94" t="s">
        <v>300</v>
      </c>
      <c r="I25" s="253"/>
    </row>
    <row r="26" spans="1:9" ht="18.75">
      <c r="A26" s="133">
        <f t="shared" si="0"/>
        <v>25</v>
      </c>
      <c r="B26" s="140" t="s">
        <v>96</v>
      </c>
      <c r="C26" s="140" t="s">
        <v>264</v>
      </c>
      <c r="D26" s="134">
        <f>'Amazonok és Titánok'!H25</f>
        <v>433.14285714285717</v>
      </c>
      <c r="E26" t="s">
        <v>301</v>
      </c>
      <c r="I26" s="253"/>
    </row>
    <row r="27" spans="1:9" ht="18.75">
      <c r="A27" s="133">
        <f t="shared" si="0"/>
        <v>26</v>
      </c>
      <c r="B27" s="140" t="s">
        <v>40</v>
      </c>
      <c r="C27" s="140" t="s">
        <v>26</v>
      </c>
      <c r="D27" s="134">
        <f>Kinizsi!C25</f>
        <v>431.2</v>
      </c>
      <c r="E27" t="s">
        <v>301</v>
      </c>
      <c r="I27" s="253"/>
    </row>
    <row r="28" spans="1:9" ht="18.75">
      <c r="A28" s="133">
        <f t="shared" si="0"/>
        <v>27</v>
      </c>
      <c r="B28" s="140" t="s">
        <v>49</v>
      </c>
      <c r="C28" s="140" t="s">
        <v>15</v>
      </c>
      <c r="D28" s="134">
        <f>Tápé!H25</f>
        <v>430.6363636363636</v>
      </c>
      <c r="E28" t="s">
        <v>301</v>
      </c>
      <c r="I28" s="253"/>
    </row>
    <row r="29" spans="1:9" ht="18.75">
      <c r="A29" s="133">
        <f t="shared" si="0"/>
        <v>28</v>
      </c>
      <c r="B29" s="140" t="s">
        <v>73</v>
      </c>
      <c r="C29" s="140" t="s">
        <v>226</v>
      </c>
      <c r="D29" s="134">
        <f>Santé!E25</f>
        <v>430.5</v>
      </c>
      <c r="E29" s="94" t="s">
        <v>300</v>
      </c>
      <c r="I29" s="253"/>
    </row>
    <row r="30" spans="1:9" ht="18.75">
      <c r="A30" s="133">
        <f t="shared" si="0"/>
        <v>29</v>
      </c>
      <c r="B30" s="140" t="s">
        <v>51</v>
      </c>
      <c r="C30" s="140" t="s">
        <v>17</v>
      </c>
      <c r="D30" s="134">
        <f>Privát!E25</f>
        <v>429.15384615384613</v>
      </c>
      <c r="E30" t="s">
        <v>301</v>
      </c>
      <c r="I30" s="253"/>
    </row>
    <row r="31" spans="1:5" ht="18.75">
      <c r="A31" s="133">
        <f t="shared" si="0"/>
        <v>30</v>
      </c>
      <c r="B31" s="140" t="s">
        <v>82</v>
      </c>
      <c r="C31" s="140" t="s">
        <v>228</v>
      </c>
      <c r="D31" s="134">
        <f>'Anro ker'!E25</f>
        <v>429</v>
      </c>
      <c r="E31" t="s">
        <v>301</v>
      </c>
    </row>
    <row r="32" spans="1:5" ht="18.75">
      <c r="A32" s="133">
        <f t="shared" si="0"/>
        <v>31</v>
      </c>
      <c r="B32" s="140" t="s">
        <v>101</v>
      </c>
      <c r="C32" s="140" t="s">
        <v>226</v>
      </c>
      <c r="D32" s="134">
        <f>Santé!I25</f>
        <v>429</v>
      </c>
      <c r="E32" t="s">
        <v>301</v>
      </c>
    </row>
    <row r="33" spans="1:5" ht="18.75">
      <c r="A33" s="133">
        <f t="shared" si="0"/>
        <v>32</v>
      </c>
      <c r="B33" s="140" t="s">
        <v>113</v>
      </c>
      <c r="C33" s="140" t="s">
        <v>229</v>
      </c>
      <c r="D33" s="134">
        <f>GLB!C25</f>
        <v>428.61538461538464</v>
      </c>
      <c r="E33" t="s">
        <v>301</v>
      </c>
    </row>
    <row r="34" spans="1:5" ht="18.75">
      <c r="A34" s="133">
        <f t="shared" si="0"/>
        <v>33</v>
      </c>
      <c r="B34" s="140" t="s">
        <v>35</v>
      </c>
      <c r="C34" s="140" t="s">
        <v>264</v>
      </c>
      <c r="D34" s="134">
        <f>'Amazonok és Titánok'!I25</f>
        <v>428</v>
      </c>
      <c r="E34" t="s">
        <v>301</v>
      </c>
    </row>
    <row r="35" spans="1:5" ht="18.75">
      <c r="A35" s="133">
        <f t="shared" si="0"/>
        <v>34</v>
      </c>
      <c r="B35" s="140" t="s">
        <v>177</v>
      </c>
      <c r="C35" s="140" t="s">
        <v>196</v>
      </c>
      <c r="D35" s="134">
        <f>Démász!F25</f>
        <v>427.92857142857144</v>
      </c>
      <c r="E35" t="s">
        <v>301</v>
      </c>
    </row>
    <row r="36" spans="1:5" ht="18.75">
      <c r="A36" s="133">
        <f t="shared" si="0"/>
        <v>35</v>
      </c>
      <c r="B36" s="140" t="s">
        <v>189</v>
      </c>
      <c r="C36" s="140" t="s">
        <v>17</v>
      </c>
      <c r="D36" s="134">
        <f>Privát!I25</f>
        <v>427.57142857142856</v>
      </c>
      <c r="E36" t="s">
        <v>301</v>
      </c>
    </row>
    <row r="37" spans="1:5" ht="18.75">
      <c r="A37" s="133">
        <f t="shared" si="0"/>
        <v>36</v>
      </c>
      <c r="B37" s="141" t="s">
        <v>256</v>
      </c>
      <c r="C37" s="140" t="s">
        <v>207</v>
      </c>
      <c r="D37" s="134">
        <f>Kalmár!E25</f>
        <v>427</v>
      </c>
      <c r="E37" s="94" t="s">
        <v>300</v>
      </c>
    </row>
    <row r="38" spans="1:5" ht="18.75">
      <c r="A38" s="133">
        <f t="shared" si="0"/>
        <v>37</v>
      </c>
      <c r="B38" s="140" t="s">
        <v>45</v>
      </c>
      <c r="C38" s="140" t="s">
        <v>26</v>
      </c>
      <c r="D38" s="134">
        <f>Kinizsi!H25</f>
        <v>426.85714285714283</v>
      </c>
      <c r="E38" t="s">
        <v>301</v>
      </c>
    </row>
    <row r="39" spans="1:5" ht="18.75">
      <c r="A39" s="133">
        <f t="shared" si="0"/>
        <v>38</v>
      </c>
      <c r="B39" s="140" t="s">
        <v>220</v>
      </c>
      <c r="C39" s="140" t="s">
        <v>207</v>
      </c>
      <c r="D39" s="134">
        <f>Kalmár!L25</f>
        <v>426.8333333333333</v>
      </c>
      <c r="E39" t="s">
        <v>301</v>
      </c>
    </row>
    <row r="40" spans="1:5" ht="18.75">
      <c r="A40" s="133">
        <f t="shared" si="0"/>
        <v>39</v>
      </c>
      <c r="B40" s="140" t="s">
        <v>215</v>
      </c>
      <c r="C40" s="140" t="s">
        <v>209</v>
      </c>
      <c r="D40" s="134">
        <f>Euroteke!K25</f>
        <v>426.7142857142857</v>
      </c>
      <c r="E40" s="94" t="s">
        <v>300</v>
      </c>
    </row>
    <row r="41" spans="1:5" ht="18.75">
      <c r="A41" s="133">
        <f t="shared" si="0"/>
        <v>40</v>
      </c>
      <c r="B41" s="140" t="s">
        <v>137</v>
      </c>
      <c r="C41" s="140" t="s">
        <v>228</v>
      </c>
      <c r="D41" s="134">
        <f>'Anro ker'!J25</f>
        <v>426.625</v>
      </c>
      <c r="E41" t="s">
        <v>301</v>
      </c>
    </row>
    <row r="42" spans="1:5" ht="18.75">
      <c r="A42" s="133">
        <f t="shared" si="0"/>
        <v>41</v>
      </c>
      <c r="B42" s="140" t="s">
        <v>106</v>
      </c>
      <c r="C42" s="140" t="s">
        <v>207</v>
      </c>
      <c r="D42" s="134">
        <f>Kalmár!D25</f>
        <v>426.44444444444446</v>
      </c>
      <c r="E42" t="s">
        <v>301</v>
      </c>
    </row>
    <row r="43" spans="1:5" ht="18.75">
      <c r="A43" s="133">
        <f t="shared" si="0"/>
        <v>42</v>
      </c>
      <c r="B43" s="140" t="s">
        <v>109</v>
      </c>
      <c r="C43" s="140" t="s">
        <v>207</v>
      </c>
      <c r="D43" s="134">
        <f>Kalmár!I25</f>
        <v>426.4</v>
      </c>
      <c r="E43" t="s">
        <v>301</v>
      </c>
    </row>
    <row r="44" spans="1:5" ht="18.75">
      <c r="A44" s="133">
        <f t="shared" si="0"/>
        <v>43</v>
      </c>
      <c r="B44" s="140" t="s">
        <v>93</v>
      </c>
      <c r="C44" s="140" t="s">
        <v>260</v>
      </c>
      <c r="D44" s="134">
        <f>Gumigyár!F25</f>
        <v>426.2</v>
      </c>
      <c r="E44" t="s">
        <v>301</v>
      </c>
    </row>
    <row r="45" spans="1:5" ht="18.75">
      <c r="A45" s="133">
        <f t="shared" si="0"/>
        <v>44</v>
      </c>
      <c r="B45" s="140" t="s">
        <v>222</v>
      </c>
      <c r="C45" s="140" t="s">
        <v>228</v>
      </c>
      <c r="D45" s="134">
        <f>'Anro ker'!L25</f>
        <v>425.75</v>
      </c>
      <c r="E45" t="s">
        <v>301</v>
      </c>
    </row>
    <row r="46" spans="1:5" ht="18.75">
      <c r="A46" s="133">
        <f t="shared" si="0"/>
        <v>45</v>
      </c>
      <c r="B46" s="140" t="s">
        <v>221</v>
      </c>
      <c r="C46" s="140" t="s">
        <v>20</v>
      </c>
      <c r="D46" s="134">
        <f>Szefo!I25</f>
        <v>425</v>
      </c>
      <c r="E46" t="s">
        <v>301</v>
      </c>
    </row>
    <row r="47" spans="1:5" ht="18.75">
      <c r="A47" s="133">
        <f t="shared" si="0"/>
        <v>46</v>
      </c>
      <c r="B47" s="140" t="s">
        <v>89</v>
      </c>
      <c r="C47" s="140" t="s">
        <v>205</v>
      </c>
      <c r="D47" s="134">
        <f>'Temesvári Hús'!C25</f>
        <v>424.4375</v>
      </c>
      <c r="E47" t="s">
        <v>301</v>
      </c>
    </row>
    <row r="48" spans="1:5" ht="18.75">
      <c r="A48" s="133">
        <f t="shared" si="0"/>
        <v>47</v>
      </c>
      <c r="B48" s="140" t="s">
        <v>170</v>
      </c>
      <c r="C48" s="140" t="s">
        <v>229</v>
      </c>
      <c r="D48" s="134">
        <f>GLB!F25</f>
        <v>423.7692307692308</v>
      </c>
      <c r="E48" t="s">
        <v>301</v>
      </c>
    </row>
    <row r="49" spans="1:5" ht="18.75">
      <c r="A49" s="133">
        <f t="shared" si="0"/>
        <v>48</v>
      </c>
      <c r="B49" s="140" t="s">
        <v>50</v>
      </c>
      <c r="C49" s="140" t="s">
        <v>17</v>
      </c>
      <c r="D49" s="134">
        <f>Privát!D25</f>
        <v>423.7692307692308</v>
      </c>
      <c r="E49" t="s">
        <v>301</v>
      </c>
    </row>
    <row r="50" spans="1:5" ht="18.75">
      <c r="A50" s="133">
        <f t="shared" si="0"/>
        <v>49</v>
      </c>
      <c r="B50" s="140" t="s">
        <v>84</v>
      </c>
      <c r="C50" s="140" t="s">
        <v>228</v>
      </c>
      <c r="D50" s="134">
        <f>'Anro ker'!G25</f>
        <v>423.7142857142857</v>
      </c>
      <c r="E50" t="s">
        <v>301</v>
      </c>
    </row>
    <row r="51" spans="1:5" ht="18.75">
      <c r="A51" s="133">
        <f t="shared" si="0"/>
        <v>50</v>
      </c>
      <c r="B51" s="140" t="s">
        <v>79</v>
      </c>
      <c r="C51" s="140" t="s">
        <v>205</v>
      </c>
      <c r="D51" s="134">
        <f>'Temesvári Hús'!H25</f>
        <v>423.5625</v>
      </c>
      <c r="E51" t="s">
        <v>301</v>
      </c>
    </row>
    <row r="52" spans="1:5" ht="18.75">
      <c r="A52" s="133">
        <f t="shared" si="0"/>
        <v>51</v>
      </c>
      <c r="B52" s="140" t="s">
        <v>36</v>
      </c>
      <c r="C52" s="140" t="s">
        <v>196</v>
      </c>
      <c r="D52" s="134">
        <f>Démász!E25</f>
        <v>423.5</v>
      </c>
      <c r="E52" t="s">
        <v>301</v>
      </c>
    </row>
    <row r="53" spans="1:5" ht="18.75">
      <c r="A53" s="133">
        <f t="shared" si="0"/>
        <v>52</v>
      </c>
      <c r="B53" s="140" t="s">
        <v>195</v>
      </c>
      <c r="C53" s="140" t="s">
        <v>264</v>
      </c>
      <c r="D53" s="134">
        <f>'Amazonok és Titánok'!J25</f>
        <v>423</v>
      </c>
      <c r="E53" t="s">
        <v>301</v>
      </c>
    </row>
    <row r="54" spans="1:5" ht="18.75">
      <c r="A54" s="133">
        <f t="shared" si="0"/>
        <v>53</v>
      </c>
      <c r="B54" s="259" t="s">
        <v>287</v>
      </c>
      <c r="C54" s="133" t="s">
        <v>263</v>
      </c>
      <c r="D54" s="134">
        <f>'Vörös Ördögök'!M25</f>
        <v>423</v>
      </c>
      <c r="E54" t="s">
        <v>301</v>
      </c>
    </row>
    <row r="55" spans="1:5" ht="18.75">
      <c r="A55" s="133">
        <f t="shared" si="0"/>
        <v>54</v>
      </c>
      <c r="B55" s="140" t="s">
        <v>46</v>
      </c>
      <c r="C55" s="140" t="s">
        <v>15</v>
      </c>
      <c r="D55" s="134">
        <f>Tápé!E25</f>
        <v>422.7</v>
      </c>
      <c r="E55" t="s">
        <v>301</v>
      </c>
    </row>
    <row r="56" spans="1:5" ht="18.75">
      <c r="A56" s="133">
        <f t="shared" si="0"/>
        <v>55</v>
      </c>
      <c r="B56" s="140" t="s">
        <v>47</v>
      </c>
      <c r="C56" s="140" t="s">
        <v>15</v>
      </c>
      <c r="D56" s="134">
        <f>Tápé!F25</f>
        <v>422.5833333333333</v>
      </c>
      <c r="E56" t="s">
        <v>301</v>
      </c>
    </row>
    <row r="57" spans="1:5" ht="18.75">
      <c r="A57" s="133">
        <f t="shared" si="0"/>
        <v>56</v>
      </c>
      <c r="B57" s="140" t="s">
        <v>68</v>
      </c>
      <c r="C57" s="140" t="s">
        <v>229</v>
      </c>
      <c r="D57" s="134">
        <f>GLB!D25</f>
        <v>422.2</v>
      </c>
      <c r="E57" t="s">
        <v>301</v>
      </c>
    </row>
    <row r="58" spans="1:5" ht="18.75">
      <c r="A58" s="133">
        <f t="shared" si="0"/>
        <v>57</v>
      </c>
      <c r="B58" s="140" t="s">
        <v>72</v>
      </c>
      <c r="C58" s="140" t="s">
        <v>226</v>
      </c>
      <c r="D58" s="134">
        <f>Santé!D25</f>
        <v>421.9375</v>
      </c>
      <c r="E58" t="s">
        <v>301</v>
      </c>
    </row>
    <row r="59" spans="1:5" ht="18.75">
      <c r="A59" s="133">
        <f t="shared" si="0"/>
        <v>58</v>
      </c>
      <c r="B59" s="259" t="s">
        <v>285</v>
      </c>
      <c r="C59" s="133" t="s">
        <v>263</v>
      </c>
      <c r="D59" s="134">
        <f>'Vörös Ördögök'!G25</f>
        <v>421.6875</v>
      </c>
      <c r="E59" t="s">
        <v>301</v>
      </c>
    </row>
    <row r="60" spans="1:5" ht="18.75">
      <c r="A60" s="133">
        <f t="shared" si="0"/>
        <v>59</v>
      </c>
      <c r="B60" s="140" t="s">
        <v>62</v>
      </c>
      <c r="C60" s="140" t="s">
        <v>20</v>
      </c>
      <c r="D60" s="134">
        <f>Szefo!F25</f>
        <v>421</v>
      </c>
      <c r="E60" t="s">
        <v>301</v>
      </c>
    </row>
    <row r="61" spans="1:5" ht="18.75">
      <c r="A61" s="133">
        <f t="shared" si="0"/>
        <v>60</v>
      </c>
      <c r="B61" s="140" t="s">
        <v>111</v>
      </c>
      <c r="C61" s="140" t="s">
        <v>228</v>
      </c>
      <c r="D61" s="134">
        <f>'Anro ker'!K25</f>
        <v>420.57142857142856</v>
      </c>
      <c r="E61" t="s">
        <v>301</v>
      </c>
    </row>
    <row r="62" spans="1:5" ht="18.75">
      <c r="A62" s="133">
        <f t="shared" si="0"/>
        <v>61</v>
      </c>
      <c r="B62" s="140" t="s">
        <v>80</v>
      </c>
      <c r="C62" s="140" t="s">
        <v>205</v>
      </c>
      <c r="D62" s="134">
        <f>'Temesvári Hús'!J25</f>
        <v>420.5625</v>
      </c>
      <c r="E62" t="s">
        <v>301</v>
      </c>
    </row>
    <row r="63" spans="1:8" ht="18.75">
      <c r="A63" s="133">
        <f t="shared" si="0"/>
        <v>62</v>
      </c>
      <c r="B63" s="140" t="s">
        <v>105</v>
      </c>
      <c r="C63" s="140" t="s">
        <v>207</v>
      </c>
      <c r="D63" s="134">
        <f>Kalmár!H25</f>
        <v>420.53846153846155</v>
      </c>
      <c r="E63" t="s">
        <v>301</v>
      </c>
      <c r="G63" s="132"/>
      <c r="H63" s="253"/>
    </row>
    <row r="64" spans="1:5" ht="18.75">
      <c r="A64" s="133">
        <f t="shared" si="0"/>
        <v>63</v>
      </c>
      <c r="B64" s="140" t="s">
        <v>198</v>
      </c>
      <c r="C64" s="140" t="s">
        <v>22</v>
      </c>
      <c r="D64" s="134">
        <f>Postás!G25</f>
        <v>420</v>
      </c>
      <c r="E64" t="s">
        <v>301</v>
      </c>
    </row>
    <row r="65" spans="1:5" ht="18.75">
      <c r="A65" s="133">
        <f t="shared" si="0"/>
        <v>64</v>
      </c>
      <c r="B65" s="259" t="s">
        <v>283</v>
      </c>
      <c r="C65" s="133" t="s">
        <v>263</v>
      </c>
      <c r="D65" s="134">
        <f>'Vörös Ördögök'!D25</f>
        <v>419.6363636363636</v>
      </c>
      <c r="E65" t="s">
        <v>301</v>
      </c>
    </row>
    <row r="66" spans="1:5" ht="18.75">
      <c r="A66" s="133">
        <f t="shared" si="0"/>
        <v>65</v>
      </c>
      <c r="B66" s="140" t="s">
        <v>81</v>
      </c>
      <c r="C66" s="140" t="s">
        <v>228</v>
      </c>
      <c r="D66" s="134">
        <f>'Anro ker'!D25</f>
        <v>419.625</v>
      </c>
      <c r="E66" t="s">
        <v>301</v>
      </c>
    </row>
    <row r="67" spans="1:5" ht="18.75">
      <c r="A67" s="133">
        <f aca="true" t="shared" si="1" ref="A67:A130">A66+1</f>
        <v>66</v>
      </c>
      <c r="B67" s="140" t="s">
        <v>173</v>
      </c>
      <c r="C67" s="140" t="s">
        <v>17</v>
      </c>
      <c r="D67" s="134">
        <f>Privát!H25</f>
        <v>419.61538461538464</v>
      </c>
      <c r="E67" t="s">
        <v>301</v>
      </c>
    </row>
    <row r="68" spans="1:5" ht="18.75">
      <c r="A68" s="133">
        <f t="shared" si="1"/>
        <v>67</v>
      </c>
      <c r="B68" s="140" t="s">
        <v>172</v>
      </c>
      <c r="C68" s="140" t="s">
        <v>17</v>
      </c>
      <c r="D68" s="134">
        <f>Privát!G25</f>
        <v>419.375</v>
      </c>
      <c r="E68" t="s">
        <v>301</v>
      </c>
    </row>
    <row r="69" spans="1:5" ht="18.75">
      <c r="A69" s="133">
        <f t="shared" si="1"/>
        <v>68</v>
      </c>
      <c r="B69" s="142" t="s">
        <v>270</v>
      </c>
      <c r="C69" s="140" t="s">
        <v>17</v>
      </c>
      <c r="D69" s="134">
        <f>Privát!K25</f>
        <v>419.3636363636364</v>
      </c>
      <c r="E69" t="s">
        <v>301</v>
      </c>
    </row>
    <row r="70" spans="1:5" ht="18.75">
      <c r="A70" s="133">
        <f t="shared" si="1"/>
        <v>69</v>
      </c>
      <c r="B70" s="140" t="s">
        <v>34</v>
      </c>
      <c r="C70" s="140" t="s">
        <v>229</v>
      </c>
      <c r="D70" s="134">
        <f>GLB!E25</f>
        <v>419.09090909090907</v>
      </c>
      <c r="E70" t="s">
        <v>301</v>
      </c>
    </row>
    <row r="71" spans="1:5" ht="18.75">
      <c r="A71" s="133">
        <f t="shared" si="1"/>
        <v>70</v>
      </c>
      <c r="B71" s="140" t="s">
        <v>77</v>
      </c>
      <c r="C71" s="140" t="s">
        <v>205</v>
      </c>
      <c r="D71" s="134">
        <f>'Temesvári Hús'!F25</f>
        <v>418.92857142857144</v>
      </c>
      <c r="E71" t="s">
        <v>301</v>
      </c>
    </row>
    <row r="72" spans="1:5" ht="18.75">
      <c r="A72" s="133">
        <f t="shared" si="1"/>
        <v>71</v>
      </c>
      <c r="B72" s="140" t="s">
        <v>193</v>
      </c>
      <c r="C72" s="140" t="s">
        <v>15</v>
      </c>
      <c r="D72" s="134">
        <f>Tápé!D25</f>
        <v>418.6666666666667</v>
      </c>
      <c r="E72" t="s">
        <v>301</v>
      </c>
    </row>
    <row r="73" spans="1:5" ht="18.75">
      <c r="A73" s="133">
        <f t="shared" si="1"/>
        <v>72</v>
      </c>
      <c r="B73" s="140" t="s">
        <v>192</v>
      </c>
      <c r="C73" s="140" t="s">
        <v>260</v>
      </c>
      <c r="D73" s="134">
        <f>Gumigyár!K25</f>
        <v>418</v>
      </c>
      <c r="E73" t="s">
        <v>301</v>
      </c>
    </row>
    <row r="74" spans="1:5" ht="18.75">
      <c r="A74" s="133">
        <f t="shared" si="1"/>
        <v>73</v>
      </c>
      <c r="B74" s="140" t="s">
        <v>57</v>
      </c>
      <c r="C74" s="140" t="s">
        <v>21</v>
      </c>
      <c r="D74" s="134">
        <f>'Dél Akku'!F25</f>
        <v>418</v>
      </c>
      <c r="E74" t="s">
        <v>301</v>
      </c>
    </row>
    <row r="75" spans="1:8" ht="18.75">
      <c r="A75" s="133">
        <f t="shared" si="1"/>
        <v>74</v>
      </c>
      <c r="B75" s="140" t="s">
        <v>41</v>
      </c>
      <c r="C75" s="140" t="s">
        <v>26</v>
      </c>
      <c r="D75" s="134">
        <f>Kinizsi!D25</f>
        <v>417.6666666666667</v>
      </c>
      <c r="E75" t="s">
        <v>301</v>
      </c>
      <c r="G75" s="132"/>
      <c r="H75" s="17"/>
    </row>
    <row r="76" spans="1:8" ht="18.75">
      <c r="A76" s="133">
        <f t="shared" si="1"/>
        <v>75</v>
      </c>
      <c r="B76" s="140" t="s">
        <v>48</v>
      </c>
      <c r="C76" s="140" t="s">
        <v>15</v>
      </c>
      <c r="D76" s="134">
        <f>Tápé!G25</f>
        <v>417.4</v>
      </c>
      <c r="E76" t="s">
        <v>301</v>
      </c>
      <c r="G76" s="132"/>
      <c r="H76" s="253"/>
    </row>
    <row r="77" spans="1:5" ht="18.75">
      <c r="A77" s="133">
        <f t="shared" si="1"/>
        <v>76</v>
      </c>
      <c r="B77" s="140" t="s">
        <v>55</v>
      </c>
      <c r="C77" s="140" t="s">
        <v>21</v>
      </c>
      <c r="D77" s="134">
        <f>'Dél Akku'!D25</f>
        <v>417.35714285714283</v>
      </c>
      <c r="E77" t="s">
        <v>301</v>
      </c>
    </row>
    <row r="78" spans="1:5" ht="18.75">
      <c r="A78" s="133">
        <f t="shared" si="1"/>
        <v>77</v>
      </c>
      <c r="B78" s="140" t="s">
        <v>56</v>
      </c>
      <c r="C78" s="140" t="s">
        <v>21</v>
      </c>
      <c r="D78" s="134">
        <f>'Dél Akku'!E25</f>
        <v>417.14285714285717</v>
      </c>
      <c r="E78" t="s">
        <v>301</v>
      </c>
    </row>
    <row r="79" spans="1:5" ht="18.75">
      <c r="A79" s="133">
        <f t="shared" si="1"/>
        <v>78</v>
      </c>
      <c r="B79" s="140" t="s">
        <v>74</v>
      </c>
      <c r="C79" s="140" t="s">
        <v>226</v>
      </c>
      <c r="D79" s="134">
        <f>Santé!F25</f>
        <v>417.06666666666666</v>
      </c>
      <c r="E79" t="s">
        <v>301</v>
      </c>
    </row>
    <row r="80" spans="1:5" ht="18.75">
      <c r="A80" s="133">
        <f t="shared" si="1"/>
        <v>79</v>
      </c>
      <c r="B80" s="140" t="s">
        <v>169</v>
      </c>
      <c r="C80" s="140" t="s">
        <v>211</v>
      </c>
      <c r="D80" s="134">
        <f>'Fa-Team'!F25</f>
        <v>416.92857142857144</v>
      </c>
      <c r="E80" t="s">
        <v>301</v>
      </c>
    </row>
    <row r="81" spans="1:5" ht="18.75">
      <c r="A81" s="133">
        <f t="shared" si="1"/>
        <v>80</v>
      </c>
      <c r="B81" s="140" t="s">
        <v>171</v>
      </c>
      <c r="C81" s="140" t="s">
        <v>17</v>
      </c>
      <c r="D81" s="134">
        <f>Privát!C25</f>
        <v>416.3333333333333</v>
      </c>
      <c r="E81" t="s">
        <v>301</v>
      </c>
    </row>
    <row r="82" spans="1:5" ht="18.75">
      <c r="A82" s="133">
        <f t="shared" si="1"/>
        <v>81</v>
      </c>
      <c r="B82" s="140" t="s">
        <v>83</v>
      </c>
      <c r="C82" s="140" t="s">
        <v>228</v>
      </c>
      <c r="D82" s="134">
        <f>'Anro ker'!F25</f>
        <v>416.25</v>
      </c>
      <c r="E82" t="s">
        <v>301</v>
      </c>
    </row>
    <row r="83" spans="1:5" ht="18.75">
      <c r="A83" s="133">
        <f t="shared" si="1"/>
        <v>82</v>
      </c>
      <c r="B83" s="140" t="s">
        <v>52</v>
      </c>
      <c r="C83" s="140" t="s">
        <v>17</v>
      </c>
      <c r="D83" s="134">
        <f>Privát!F25</f>
        <v>416.0769230769231</v>
      </c>
      <c r="E83" t="s">
        <v>301</v>
      </c>
    </row>
    <row r="84" spans="1:5" ht="18.75">
      <c r="A84" s="133">
        <f t="shared" si="1"/>
        <v>83</v>
      </c>
      <c r="B84" s="140" t="s">
        <v>100</v>
      </c>
      <c r="C84" s="140" t="s">
        <v>226</v>
      </c>
      <c r="D84" s="134">
        <f>Santé!H25</f>
        <v>415.9166666666667</v>
      </c>
      <c r="E84" t="s">
        <v>301</v>
      </c>
    </row>
    <row r="85" spans="1:5" ht="18.75">
      <c r="A85" s="133">
        <f t="shared" si="1"/>
        <v>84</v>
      </c>
      <c r="B85" s="140" t="s">
        <v>97</v>
      </c>
      <c r="C85" s="140" t="s">
        <v>260</v>
      </c>
      <c r="D85" s="134">
        <f>Gumigyár!I25</f>
        <v>415.8666666666667</v>
      </c>
      <c r="E85" t="s">
        <v>301</v>
      </c>
    </row>
    <row r="86" spans="1:5" ht="18.75">
      <c r="A86" s="133">
        <f t="shared" si="1"/>
        <v>85</v>
      </c>
      <c r="B86" s="140" t="s">
        <v>122</v>
      </c>
      <c r="C86" s="140" t="s">
        <v>229</v>
      </c>
      <c r="D86" s="134">
        <f>GLB!I25</f>
        <v>415.77777777777777</v>
      </c>
      <c r="E86" t="s">
        <v>301</v>
      </c>
    </row>
    <row r="87" spans="1:8" ht="18.75">
      <c r="A87" s="133">
        <f t="shared" si="1"/>
        <v>86</v>
      </c>
      <c r="B87" s="140" t="s">
        <v>66</v>
      </c>
      <c r="C87" s="140" t="s">
        <v>264</v>
      </c>
      <c r="D87" s="134">
        <f>'Amazonok és Titánok'!F25</f>
        <v>415.64285714285717</v>
      </c>
      <c r="E87" t="s">
        <v>301</v>
      </c>
      <c r="G87" s="132"/>
      <c r="H87" s="253"/>
    </row>
    <row r="88" spans="1:5" ht="18.75">
      <c r="A88" s="133">
        <f t="shared" si="1"/>
        <v>87</v>
      </c>
      <c r="B88" s="140" t="s">
        <v>65</v>
      </c>
      <c r="C88" s="140" t="s">
        <v>264</v>
      </c>
      <c r="D88" s="134">
        <f>'Amazonok és Titánok'!E25</f>
        <v>415.6</v>
      </c>
      <c r="E88" t="s">
        <v>301</v>
      </c>
    </row>
    <row r="89" spans="1:5" ht="18.75">
      <c r="A89" s="133">
        <f t="shared" si="1"/>
        <v>88</v>
      </c>
      <c r="B89" s="140" t="s">
        <v>125</v>
      </c>
      <c r="C89" s="140" t="s">
        <v>26</v>
      </c>
      <c r="D89" s="134">
        <f>Kinizsi!K25</f>
        <v>415.1666666666667</v>
      </c>
      <c r="E89" t="s">
        <v>301</v>
      </c>
    </row>
    <row r="90" spans="1:5" ht="18.75">
      <c r="A90" s="133">
        <f t="shared" si="1"/>
        <v>89</v>
      </c>
      <c r="B90" s="140" t="s">
        <v>78</v>
      </c>
      <c r="C90" s="140" t="s">
        <v>205</v>
      </c>
      <c r="D90" s="134">
        <f>'Temesvári Hús'!G25</f>
        <v>414.8125</v>
      </c>
      <c r="E90" t="s">
        <v>301</v>
      </c>
    </row>
    <row r="91" spans="1:5" ht="18.75">
      <c r="A91" s="133">
        <f t="shared" si="1"/>
        <v>90</v>
      </c>
      <c r="B91" s="140" t="s">
        <v>294</v>
      </c>
      <c r="C91" s="140" t="s">
        <v>21</v>
      </c>
      <c r="D91" s="134">
        <f>'Dél Akku'!L25</f>
        <v>414.8</v>
      </c>
      <c r="E91" t="s">
        <v>301</v>
      </c>
    </row>
    <row r="92" spans="1:5" ht="18.75">
      <c r="A92" s="133">
        <f t="shared" si="1"/>
        <v>91</v>
      </c>
      <c r="B92" s="140" t="s">
        <v>123</v>
      </c>
      <c r="C92" s="140" t="s">
        <v>20</v>
      </c>
      <c r="D92" s="134">
        <f>Szefo!K25</f>
        <v>414.75</v>
      </c>
      <c r="E92" t="s">
        <v>301</v>
      </c>
    </row>
    <row r="93" spans="1:5" ht="18.75">
      <c r="A93" s="133">
        <f t="shared" si="1"/>
        <v>92</v>
      </c>
      <c r="B93" s="140" t="s">
        <v>86</v>
      </c>
      <c r="C93" s="140" t="s">
        <v>22</v>
      </c>
      <c r="D93" s="134">
        <f>Postás!C25</f>
        <v>414.6923076923077</v>
      </c>
      <c r="E93" t="s">
        <v>301</v>
      </c>
    </row>
    <row r="94" spans="1:5" ht="18.75">
      <c r="A94" s="133">
        <f t="shared" si="1"/>
        <v>93</v>
      </c>
      <c r="B94" s="140" t="s">
        <v>58</v>
      </c>
      <c r="C94" s="140" t="s">
        <v>21</v>
      </c>
      <c r="D94" s="134">
        <f>'Dél Akku'!G25</f>
        <v>414.46153846153845</v>
      </c>
      <c r="E94" t="s">
        <v>301</v>
      </c>
    </row>
    <row r="95" spans="1:5" ht="18.75">
      <c r="A95" s="133">
        <f t="shared" si="1"/>
        <v>94</v>
      </c>
      <c r="B95" s="140" t="s">
        <v>70</v>
      </c>
      <c r="C95" s="140" t="s">
        <v>229</v>
      </c>
      <c r="D95" s="134">
        <f>GLB!H25</f>
        <v>414.0833333333333</v>
      </c>
      <c r="E95" t="s">
        <v>301</v>
      </c>
    </row>
    <row r="96" spans="1:5" ht="18.75">
      <c r="A96" s="133">
        <f t="shared" si="1"/>
        <v>95</v>
      </c>
      <c r="B96" s="140" t="s">
        <v>190</v>
      </c>
      <c r="C96" s="140" t="s">
        <v>196</v>
      </c>
      <c r="D96" s="134">
        <f>Démász!K25</f>
        <v>413.3076923076923</v>
      </c>
      <c r="E96" t="s">
        <v>301</v>
      </c>
    </row>
    <row r="97" spans="1:5" ht="18.75">
      <c r="A97" s="133">
        <f t="shared" si="1"/>
        <v>96</v>
      </c>
      <c r="B97" s="140" t="s">
        <v>150</v>
      </c>
      <c r="C97" s="140" t="s">
        <v>211</v>
      </c>
      <c r="D97" s="134">
        <f>'Fa-Team'!I25</f>
        <v>413.14285714285717</v>
      </c>
      <c r="E97" t="s">
        <v>301</v>
      </c>
    </row>
    <row r="98" spans="1:5" ht="18.75">
      <c r="A98" s="133">
        <f t="shared" si="1"/>
        <v>97</v>
      </c>
      <c r="B98" s="140" t="s">
        <v>120</v>
      </c>
      <c r="C98" s="140" t="s">
        <v>21</v>
      </c>
      <c r="D98" s="134">
        <f>'Dél Akku'!I25</f>
        <v>412.8666666666667</v>
      </c>
      <c r="E98" t="s">
        <v>301</v>
      </c>
    </row>
    <row r="99" spans="1:5" ht="18.75">
      <c r="A99" s="133">
        <f t="shared" si="1"/>
        <v>98</v>
      </c>
      <c r="B99" s="259" t="s">
        <v>282</v>
      </c>
      <c r="C99" s="133" t="s">
        <v>263</v>
      </c>
      <c r="D99" s="134">
        <f>'Vörös Ördögök'!C25</f>
        <v>412.3076923076923</v>
      </c>
      <c r="E99" t="s">
        <v>301</v>
      </c>
    </row>
    <row r="100" spans="1:5" ht="18.75">
      <c r="A100" s="133">
        <f t="shared" si="1"/>
        <v>99</v>
      </c>
      <c r="B100" s="140" t="s">
        <v>54</v>
      </c>
      <c r="C100" s="140" t="s">
        <v>21</v>
      </c>
      <c r="D100" s="134">
        <f>'Dél Akku'!C25</f>
        <v>412.2857142857143</v>
      </c>
      <c r="E100" t="s">
        <v>301</v>
      </c>
    </row>
    <row r="101" spans="1:5" ht="18.75">
      <c r="A101" s="133">
        <f t="shared" si="1"/>
        <v>100</v>
      </c>
      <c r="B101" s="259" t="s">
        <v>284</v>
      </c>
      <c r="C101" s="133" t="s">
        <v>263</v>
      </c>
      <c r="D101" s="134">
        <f>'Vörös Ördögök'!F25</f>
        <v>411.5</v>
      </c>
      <c r="E101" t="s">
        <v>301</v>
      </c>
    </row>
    <row r="102" spans="1:5" ht="18.75">
      <c r="A102" s="133">
        <f t="shared" si="1"/>
        <v>101</v>
      </c>
      <c r="B102" s="140" t="s">
        <v>67</v>
      </c>
      <c r="C102" s="140" t="s">
        <v>264</v>
      </c>
      <c r="D102" s="134">
        <f>'Amazonok és Titánok'!G25</f>
        <v>410.85714285714283</v>
      </c>
      <c r="E102" t="s">
        <v>301</v>
      </c>
    </row>
    <row r="103" spans="1:5" ht="18.75">
      <c r="A103" s="133">
        <f t="shared" si="1"/>
        <v>102</v>
      </c>
      <c r="B103" s="259" t="s">
        <v>286</v>
      </c>
      <c r="C103" s="133" t="s">
        <v>263</v>
      </c>
      <c r="D103" s="134">
        <f>'Vörös Ördögök'!I25</f>
        <v>410.2307692307692</v>
      </c>
      <c r="E103" t="s">
        <v>301</v>
      </c>
    </row>
    <row r="104" spans="1:8" ht="18.75">
      <c r="A104" s="133">
        <f t="shared" si="1"/>
        <v>103</v>
      </c>
      <c r="B104" s="140" t="s">
        <v>63</v>
      </c>
      <c r="C104" s="140" t="s">
        <v>20</v>
      </c>
      <c r="D104" s="134">
        <f>Szefo!D25</f>
        <v>409.3333333333333</v>
      </c>
      <c r="E104" t="s">
        <v>301</v>
      </c>
      <c r="G104" s="132"/>
      <c r="H104" s="253"/>
    </row>
    <row r="105" spans="1:5" ht="18.75">
      <c r="A105" s="133">
        <f t="shared" si="1"/>
        <v>104</v>
      </c>
      <c r="B105" s="140" t="s">
        <v>69</v>
      </c>
      <c r="C105" s="140" t="s">
        <v>211</v>
      </c>
      <c r="D105" s="134">
        <f>'Fa-Team'!D25</f>
        <v>406.6666666666667</v>
      </c>
      <c r="E105" t="s">
        <v>301</v>
      </c>
    </row>
    <row r="106" spans="1:5" ht="18.75">
      <c r="A106" s="133">
        <f t="shared" si="1"/>
        <v>105</v>
      </c>
      <c r="B106" s="140" t="s">
        <v>148</v>
      </c>
      <c r="C106" s="140" t="s">
        <v>196</v>
      </c>
      <c r="D106" s="134">
        <f>Démász!J25</f>
        <v>406.57142857142856</v>
      </c>
      <c r="E106" t="s">
        <v>301</v>
      </c>
    </row>
    <row r="107" spans="1:5" ht="18.75">
      <c r="A107" s="133">
        <f t="shared" si="1"/>
        <v>106</v>
      </c>
      <c r="B107" s="143" t="s">
        <v>33</v>
      </c>
      <c r="C107" s="140" t="s">
        <v>264</v>
      </c>
      <c r="D107" s="134">
        <f>'Amazonok és Titánok'!K25</f>
        <v>406</v>
      </c>
      <c r="E107" t="s">
        <v>301</v>
      </c>
    </row>
    <row r="108" spans="1:5" ht="18.75">
      <c r="A108" s="133">
        <f t="shared" si="1"/>
        <v>107</v>
      </c>
      <c r="B108" s="259" t="s">
        <v>212</v>
      </c>
      <c r="C108" s="133" t="s">
        <v>263</v>
      </c>
      <c r="D108" s="134">
        <f>'Vörös Ördögök'!H25</f>
        <v>404.2142857142857</v>
      </c>
      <c r="E108" t="s">
        <v>301</v>
      </c>
    </row>
    <row r="109" spans="1:5" ht="18.75">
      <c r="A109" s="133">
        <f t="shared" si="1"/>
        <v>108</v>
      </c>
      <c r="B109" s="140" t="s">
        <v>61</v>
      </c>
      <c r="C109" s="140" t="s">
        <v>20</v>
      </c>
      <c r="D109" s="134">
        <f>Szefo!G25</f>
        <v>403.5</v>
      </c>
      <c r="E109" t="s">
        <v>301</v>
      </c>
    </row>
    <row r="110" spans="1:5" ht="18.75">
      <c r="A110" s="133">
        <f t="shared" si="1"/>
        <v>109</v>
      </c>
      <c r="B110" s="140" t="s">
        <v>88</v>
      </c>
      <c r="C110" s="140" t="s">
        <v>22</v>
      </c>
      <c r="D110" s="134">
        <f>Postás!E25</f>
        <v>403.25</v>
      </c>
      <c r="E110" t="s">
        <v>301</v>
      </c>
    </row>
    <row r="111" spans="1:5" ht="18.75">
      <c r="A111" s="133">
        <f t="shared" si="1"/>
        <v>110</v>
      </c>
      <c r="B111" s="140" t="s">
        <v>124</v>
      </c>
      <c r="C111" s="140" t="s">
        <v>205</v>
      </c>
      <c r="D111" s="134">
        <f>'Temesvári Hús'!I25</f>
        <v>402.44444444444446</v>
      </c>
      <c r="E111" t="s">
        <v>301</v>
      </c>
    </row>
    <row r="112" spans="1:5" ht="18.75">
      <c r="A112" s="133">
        <f t="shared" si="1"/>
        <v>111</v>
      </c>
      <c r="B112" s="140" t="s">
        <v>179</v>
      </c>
      <c r="C112" s="140" t="s">
        <v>196</v>
      </c>
      <c r="D112" s="134">
        <f>Démász!H25</f>
        <v>402.26666666666665</v>
      </c>
      <c r="E112" t="s">
        <v>301</v>
      </c>
    </row>
    <row r="113" spans="1:5" ht="18.75">
      <c r="A113" s="133">
        <f t="shared" si="1"/>
        <v>112</v>
      </c>
      <c r="B113" s="140" t="s">
        <v>117</v>
      </c>
      <c r="C113" s="140" t="s">
        <v>209</v>
      </c>
      <c r="D113" s="134">
        <f>Euroteke!H25</f>
        <v>400.625</v>
      </c>
      <c r="E113" t="s">
        <v>301</v>
      </c>
    </row>
    <row r="114" spans="1:5" ht="18.75">
      <c r="A114" s="133">
        <f t="shared" si="1"/>
        <v>113</v>
      </c>
      <c r="B114" s="263" t="s">
        <v>296</v>
      </c>
      <c r="C114" s="133" t="s">
        <v>263</v>
      </c>
      <c r="D114" s="134">
        <f>'Vörös Ördögök'!E25</f>
        <v>400.3333333333333</v>
      </c>
      <c r="E114" t="s">
        <v>301</v>
      </c>
    </row>
    <row r="115" spans="1:8" ht="18.75">
      <c r="A115" s="133">
        <f t="shared" si="1"/>
        <v>114</v>
      </c>
      <c r="B115" s="140" t="s">
        <v>273</v>
      </c>
      <c r="C115" s="140" t="s">
        <v>22</v>
      </c>
      <c r="D115" s="134">
        <f>Postás!L25</f>
        <v>399.25</v>
      </c>
      <c r="E115" t="s">
        <v>301</v>
      </c>
      <c r="G115" s="132"/>
      <c r="H115" s="253"/>
    </row>
    <row r="116" spans="1:8" ht="18.75">
      <c r="A116" s="133">
        <f t="shared" si="1"/>
        <v>115</v>
      </c>
      <c r="B116" s="140" t="s">
        <v>43</v>
      </c>
      <c r="C116" s="140" t="s">
        <v>26</v>
      </c>
      <c r="D116" s="134">
        <f>Kinizsi!F25</f>
        <v>399</v>
      </c>
      <c r="E116" t="s">
        <v>301</v>
      </c>
      <c r="G116" s="253"/>
      <c r="H116" s="253"/>
    </row>
    <row r="117" spans="1:5" ht="18.75">
      <c r="A117" s="133">
        <f t="shared" si="1"/>
        <v>116</v>
      </c>
      <c r="B117" s="140" t="s">
        <v>217</v>
      </c>
      <c r="C117" s="140" t="s">
        <v>209</v>
      </c>
      <c r="D117" s="134">
        <f>Euroteke!J25</f>
        <v>398.7857142857143</v>
      </c>
      <c r="E117" t="s">
        <v>301</v>
      </c>
    </row>
    <row r="118" spans="1:5" ht="18.75">
      <c r="A118" s="133">
        <f t="shared" si="1"/>
        <v>117</v>
      </c>
      <c r="B118" s="140" t="s">
        <v>99</v>
      </c>
      <c r="C118" s="140" t="s">
        <v>205</v>
      </c>
      <c r="D118" s="134">
        <f>'Temesvári Hús'!K25</f>
        <v>398.75</v>
      </c>
      <c r="E118" t="s">
        <v>301</v>
      </c>
    </row>
    <row r="119" spans="1:5" ht="18.75">
      <c r="A119" s="133">
        <f t="shared" si="1"/>
        <v>118</v>
      </c>
      <c r="B119" s="140" t="s">
        <v>103</v>
      </c>
      <c r="C119" s="140" t="s">
        <v>22</v>
      </c>
      <c r="D119" s="134">
        <f>Postás!H25</f>
        <v>398.2307692307692</v>
      </c>
      <c r="E119" t="s">
        <v>301</v>
      </c>
    </row>
    <row r="120" spans="1:5" ht="18.75">
      <c r="A120" s="133">
        <f t="shared" si="1"/>
        <v>119</v>
      </c>
      <c r="B120" s="140" t="s">
        <v>213</v>
      </c>
      <c r="C120" s="140" t="s">
        <v>209</v>
      </c>
      <c r="D120" s="134">
        <f>Euroteke!C25</f>
        <v>397.3636363636364</v>
      </c>
      <c r="E120" t="s">
        <v>301</v>
      </c>
    </row>
    <row r="121" spans="1:5" ht="18.75">
      <c r="A121" s="133">
        <f t="shared" si="1"/>
        <v>120</v>
      </c>
      <c r="B121" s="140" t="s">
        <v>291</v>
      </c>
      <c r="C121" s="140" t="s">
        <v>20</v>
      </c>
      <c r="D121" s="134">
        <f>Szefo!L25</f>
        <v>396</v>
      </c>
      <c r="E121" t="s">
        <v>301</v>
      </c>
    </row>
    <row r="122" spans="1:8" ht="18.75">
      <c r="A122" s="133">
        <f t="shared" si="1"/>
        <v>121</v>
      </c>
      <c r="B122" s="140" t="s">
        <v>118</v>
      </c>
      <c r="C122" s="140" t="s">
        <v>15</v>
      </c>
      <c r="D122" s="134">
        <f>Tápé!J25</f>
        <v>394.6666666666667</v>
      </c>
      <c r="E122" t="s">
        <v>301</v>
      </c>
      <c r="G122" s="132"/>
      <c r="H122" s="253"/>
    </row>
    <row r="123" spans="1:5" ht="18.75">
      <c r="A123" s="133">
        <f t="shared" si="1"/>
        <v>122</v>
      </c>
      <c r="B123" s="140" t="s">
        <v>85</v>
      </c>
      <c r="C123" s="140" t="s">
        <v>228</v>
      </c>
      <c r="D123" s="134">
        <f>'Anro ker'!H25</f>
        <v>393.57142857142856</v>
      </c>
      <c r="E123" t="s">
        <v>301</v>
      </c>
    </row>
    <row r="124" spans="1:5" ht="18.75">
      <c r="A124" s="133">
        <f t="shared" si="1"/>
        <v>123</v>
      </c>
      <c r="B124" s="140" t="s">
        <v>176</v>
      </c>
      <c r="C124" s="140" t="s">
        <v>196</v>
      </c>
      <c r="D124" s="134">
        <f>Démász!D25</f>
        <v>392.72727272727275</v>
      </c>
      <c r="E124" t="s">
        <v>301</v>
      </c>
    </row>
    <row r="125" spans="1:5" ht="18.75">
      <c r="A125" s="133">
        <f t="shared" si="1"/>
        <v>124</v>
      </c>
      <c r="B125" s="140" t="s">
        <v>175</v>
      </c>
      <c r="C125" s="140" t="s">
        <v>196</v>
      </c>
      <c r="D125" s="134">
        <f>Démász!C25</f>
        <v>391.93333333333334</v>
      </c>
      <c r="E125" t="s">
        <v>301</v>
      </c>
    </row>
    <row r="126" spans="1:5" ht="18.75">
      <c r="A126" s="133">
        <f t="shared" si="1"/>
        <v>125</v>
      </c>
      <c r="B126" s="140" t="s">
        <v>174</v>
      </c>
      <c r="C126" s="140" t="s">
        <v>229</v>
      </c>
      <c r="D126" s="134">
        <f>GLB!J25</f>
        <v>390.5</v>
      </c>
      <c r="E126" t="s">
        <v>301</v>
      </c>
    </row>
    <row r="127" spans="1:5" ht="18.75">
      <c r="A127" s="133">
        <f t="shared" si="1"/>
        <v>126</v>
      </c>
      <c r="B127" s="140" t="s">
        <v>98</v>
      </c>
      <c r="C127" s="140" t="s">
        <v>211</v>
      </c>
      <c r="D127" s="134">
        <f>'Fa-Team'!H25</f>
        <v>390.0833333333333</v>
      </c>
      <c r="E127" t="s">
        <v>301</v>
      </c>
    </row>
    <row r="128" spans="1:5" ht="18.75">
      <c r="A128" s="133">
        <f t="shared" si="1"/>
        <v>127</v>
      </c>
      <c r="B128" s="140" t="s">
        <v>87</v>
      </c>
      <c r="C128" s="140" t="s">
        <v>22</v>
      </c>
      <c r="D128" s="134">
        <f>Postás!D25</f>
        <v>390</v>
      </c>
      <c r="E128" t="s">
        <v>301</v>
      </c>
    </row>
    <row r="129" spans="1:5" ht="18.75">
      <c r="A129" s="133">
        <f t="shared" si="1"/>
        <v>128</v>
      </c>
      <c r="B129" s="140" t="s">
        <v>129</v>
      </c>
      <c r="C129" s="140" t="s">
        <v>22</v>
      </c>
      <c r="D129" s="134">
        <f>Postás!J25</f>
        <v>389.875</v>
      </c>
      <c r="E129" t="s">
        <v>301</v>
      </c>
    </row>
    <row r="130" spans="1:5" ht="18.75">
      <c r="A130" s="133">
        <f t="shared" si="1"/>
        <v>129</v>
      </c>
      <c r="B130" s="140" t="s">
        <v>295</v>
      </c>
      <c r="C130" s="140" t="s">
        <v>22</v>
      </c>
      <c r="D130" s="134">
        <f>Postás!F25</f>
        <v>389.4</v>
      </c>
      <c r="E130" t="s">
        <v>301</v>
      </c>
    </row>
    <row r="131" spans="1:5" ht="18.75">
      <c r="A131" s="133">
        <f aca="true" t="shared" si="2" ref="A131:A165">A130+1</f>
        <v>130</v>
      </c>
      <c r="B131" s="140" t="s">
        <v>216</v>
      </c>
      <c r="C131" s="140" t="s">
        <v>209</v>
      </c>
      <c r="D131" s="134">
        <f>Euroteke!M25</f>
        <v>388.8</v>
      </c>
      <c r="E131" t="s">
        <v>301</v>
      </c>
    </row>
    <row r="132" spans="1:5" ht="18.75">
      <c r="A132" s="133">
        <f t="shared" si="2"/>
        <v>131</v>
      </c>
      <c r="B132" s="140" t="s">
        <v>214</v>
      </c>
      <c r="C132" s="140" t="s">
        <v>209</v>
      </c>
      <c r="D132" s="134">
        <f>Euroteke!G25</f>
        <v>388.6666666666667</v>
      </c>
      <c r="E132" t="s">
        <v>301</v>
      </c>
    </row>
    <row r="133" spans="1:5" ht="18.75">
      <c r="A133" s="133">
        <f t="shared" si="2"/>
        <v>132</v>
      </c>
      <c r="B133" s="259" t="s">
        <v>288</v>
      </c>
      <c r="C133" s="133" t="s">
        <v>263</v>
      </c>
      <c r="D133" s="134">
        <f>'Vörös Ördögök'!N25</f>
        <v>388</v>
      </c>
      <c r="E133" t="s">
        <v>301</v>
      </c>
    </row>
    <row r="134" spans="1:5" ht="18.75">
      <c r="A134" s="133">
        <f t="shared" si="2"/>
        <v>133</v>
      </c>
      <c r="B134" s="140" t="s">
        <v>168</v>
      </c>
      <c r="C134" s="140" t="s">
        <v>211</v>
      </c>
      <c r="D134" s="134">
        <f>'Fa-Team'!E25</f>
        <v>384.2</v>
      </c>
      <c r="E134" t="s">
        <v>301</v>
      </c>
    </row>
    <row r="135" spans="1:5" ht="18.75">
      <c r="A135" s="133">
        <f t="shared" si="2"/>
        <v>134</v>
      </c>
      <c r="B135" s="144" t="s">
        <v>259</v>
      </c>
      <c r="C135" s="140" t="s">
        <v>209</v>
      </c>
      <c r="D135" s="134">
        <f>Euroteke!D25</f>
        <v>378.25</v>
      </c>
      <c r="E135" t="s">
        <v>301</v>
      </c>
    </row>
    <row r="136" spans="1:5" ht="18.75">
      <c r="A136" s="133">
        <f t="shared" si="2"/>
        <v>135</v>
      </c>
      <c r="B136" s="140" t="s">
        <v>180</v>
      </c>
      <c r="C136" s="140" t="s">
        <v>196</v>
      </c>
      <c r="D136" s="134">
        <f>Démász!I25</f>
        <v>377.8333333333333</v>
      </c>
      <c r="E136" t="s">
        <v>301</v>
      </c>
    </row>
    <row r="137" spans="1:5" ht="18.75">
      <c r="A137" s="133">
        <f t="shared" si="2"/>
        <v>136</v>
      </c>
      <c r="B137" s="140" t="s">
        <v>95</v>
      </c>
      <c r="C137" s="140" t="s">
        <v>260</v>
      </c>
      <c r="D137" s="134">
        <f>Gumigyár!H25</f>
        <v>377.5</v>
      </c>
      <c r="E137" t="s">
        <v>301</v>
      </c>
    </row>
    <row r="138" spans="1:5" ht="18.75">
      <c r="A138" s="133">
        <f t="shared" si="2"/>
        <v>137</v>
      </c>
      <c r="B138" s="140" t="s">
        <v>108</v>
      </c>
      <c r="C138" s="140" t="s">
        <v>207</v>
      </c>
      <c r="D138" s="134">
        <f>Kalmár!G25</f>
        <v>377</v>
      </c>
      <c r="E138" t="s">
        <v>301</v>
      </c>
    </row>
    <row r="139" spans="1:5" ht="18.75">
      <c r="A139" s="133">
        <f t="shared" si="2"/>
        <v>138</v>
      </c>
      <c r="B139" s="140" t="s">
        <v>167</v>
      </c>
      <c r="C139" s="140" t="s">
        <v>211</v>
      </c>
      <c r="D139" s="134">
        <f>'Fa-Team'!C25</f>
        <v>376.5</v>
      </c>
      <c r="E139" t="s">
        <v>301</v>
      </c>
    </row>
    <row r="140" spans="1:5" ht="18.75">
      <c r="A140" s="133">
        <f t="shared" si="2"/>
        <v>139</v>
      </c>
      <c r="B140" s="140" t="s">
        <v>194</v>
      </c>
      <c r="C140" s="140" t="s">
        <v>22</v>
      </c>
      <c r="D140" s="134">
        <f>Postás!K25</f>
        <v>374.85714285714283</v>
      </c>
      <c r="E140" t="s">
        <v>301</v>
      </c>
    </row>
    <row r="141" spans="1:5" ht="18.75">
      <c r="A141" s="133">
        <f t="shared" si="2"/>
        <v>140</v>
      </c>
      <c r="B141" s="140" t="s">
        <v>60</v>
      </c>
      <c r="C141" s="140" t="s">
        <v>20</v>
      </c>
      <c r="D141" s="134">
        <f>Szefo!H25</f>
        <v>372.57142857142856</v>
      </c>
      <c r="E141" t="s">
        <v>301</v>
      </c>
    </row>
    <row r="142" spans="1:5" ht="18.75">
      <c r="A142" s="133">
        <f t="shared" si="2"/>
        <v>141</v>
      </c>
      <c r="B142" s="141" t="s">
        <v>292</v>
      </c>
      <c r="C142" s="140" t="s">
        <v>226</v>
      </c>
      <c r="D142" s="134">
        <f>Santé!L25</f>
        <v>369.5</v>
      </c>
      <c r="E142" t="s">
        <v>301</v>
      </c>
    </row>
    <row r="143" spans="1:5" ht="18.75">
      <c r="A143" s="133">
        <f t="shared" si="2"/>
        <v>142</v>
      </c>
      <c r="B143" s="140" t="s">
        <v>293</v>
      </c>
      <c r="C143" s="140" t="s">
        <v>20</v>
      </c>
      <c r="D143" s="134">
        <f>Szefo!E25</f>
        <v>369.5</v>
      </c>
      <c r="E143" t="s">
        <v>301</v>
      </c>
    </row>
    <row r="144" spans="1:5" ht="18.75">
      <c r="A144" s="133">
        <f t="shared" si="2"/>
        <v>143</v>
      </c>
      <c r="B144" s="140" t="s">
        <v>76</v>
      </c>
      <c r="C144" s="140" t="s">
        <v>205</v>
      </c>
      <c r="D144" s="134">
        <f>'Temesvári Hús'!D25</f>
        <v>367</v>
      </c>
      <c r="E144" t="s">
        <v>301</v>
      </c>
    </row>
    <row r="145" spans="1:5" ht="18.75">
      <c r="A145" s="133">
        <f t="shared" si="2"/>
        <v>144</v>
      </c>
      <c r="B145" s="143" t="s">
        <v>307</v>
      </c>
      <c r="C145" s="140" t="s">
        <v>205</v>
      </c>
      <c r="D145" s="134">
        <f>'Temesvári Hús'!E25</f>
        <v>367</v>
      </c>
      <c r="E145" t="s">
        <v>301</v>
      </c>
    </row>
    <row r="146" spans="1:5" ht="18.75">
      <c r="A146" s="133">
        <f t="shared" si="2"/>
        <v>145</v>
      </c>
      <c r="B146" s="140" t="s">
        <v>149</v>
      </c>
      <c r="C146" s="140" t="s">
        <v>15</v>
      </c>
      <c r="D146" s="134">
        <f>Tápé!C25</f>
        <v>366</v>
      </c>
      <c r="E146" t="s">
        <v>301</v>
      </c>
    </row>
    <row r="147" spans="1:5" ht="18.75">
      <c r="A147" s="133">
        <f t="shared" si="2"/>
        <v>146</v>
      </c>
      <c r="B147" s="259" t="s">
        <v>302</v>
      </c>
      <c r="C147" s="140" t="s">
        <v>226</v>
      </c>
      <c r="D147" s="134">
        <f>Santé!J25</f>
        <v>366</v>
      </c>
      <c r="E147" t="s">
        <v>301</v>
      </c>
    </row>
    <row r="148" spans="1:5" ht="18.75">
      <c r="A148" s="133">
        <f t="shared" si="2"/>
        <v>147</v>
      </c>
      <c r="B148" s="259" t="s">
        <v>289</v>
      </c>
      <c r="C148" s="133" t="s">
        <v>263</v>
      </c>
      <c r="D148" s="134">
        <f>'Vörös Ördögök'!L25</f>
        <v>361</v>
      </c>
      <c r="E148" t="s">
        <v>301</v>
      </c>
    </row>
    <row r="149" spans="1:5" ht="18.75">
      <c r="A149" s="133">
        <f t="shared" si="2"/>
        <v>148</v>
      </c>
      <c r="B149" s="140" t="s">
        <v>197</v>
      </c>
      <c r="C149" s="140" t="s">
        <v>205</v>
      </c>
      <c r="D149" s="134">
        <f>'Temesvári Hús'!L25</f>
        <v>348</v>
      </c>
      <c r="E149" t="s">
        <v>301</v>
      </c>
    </row>
    <row r="150" spans="1:5" ht="18.75">
      <c r="A150" s="133">
        <f t="shared" si="2"/>
        <v>149</v>
      </c>
      <c r="B150" s="140" t="s">
        <v>112</v>
      </c>
      <c r="C150" s="140" t="s">
        <v>20</v>
      </c>
      <c r="D150" s="134">
        <f>Szefo!J25</f>
        <v>340</v>
      </c>
      <c r="E150" t="s">
        <v>301</v>
      </c>
    </row>
    <row r="151" spans="1:5" ht="18.75">
      <c r="A151" s="133">
        <f t="shared" si="2"/>
        <v>150</v>
      </c>
      <c r="B151" s="144" t="s">
        <v>299</v>
      </c>
      <c r="C151" s="140" t="s">
        <v>211</v>
      </c>
      <c r="D151" s="134">
        <f>'Fa-Team'!L25</f>
        <v>316</v>
      </c>
      <c r="E151" t="s">
        <v>301</v>
      </c>
    </row>
    <row r="152" spans="1:5" ht="18.75">
      <c r="A152" s="133">
        <f t="shared" si="2"/>
        <v>151</v>
      </c>
      <c r="B152" s="140" t="s">
        <v>102</v>
      </c>
      <c r="C152" s="140" t="s">
        <v>22</v>
      </c>
      <c r="D152" s="134">
        <f>Postás!I25</f>
        <v>0</v>
      </c>
      <c r="E152" t="s">
        <v>301</v>
      </c>
    </row>
    <row r="153" spans="1:5" ht="18.75">
      <c r="A153" s="133">
        <f t="shared" si="2"/>
        <v>152</v>
      </c>
      <c r="B153" s="140" t="s">
        <v>200</v>
      </c>
      <c r="C153" s="140" t="s">
        <v>26</v>
      </c>
      <c r="D153" s="134">
        <f>Kinizsi!L25</f>
        <v>0</v>
      </c>
      <c r="E153" t="s">
        <v>301</v>
      </c>
    </row>
    <row r="154" spans="1:5" ht="18.75">
      <c r="A154" s="133">
        <f t="shared" si="2"/>
        <v>153</v>
      </c>
      <c r="B154" s="140" t="s">
        <v>92</v>
      </c>
      <c r="C154" s="140" t="s">
        <v>260</v>
      </c>
      <c r="D154" s="134">
        <f>Gumigyár!E25</f>
        <v>0</v>
      </c>
      <c r="E154" t="s">
        <v>301</v>
      </c>
    </row>
    <row r="155" spans="1:5" ht="18.75">
      <c r="A155" s="133">
        <f t="shared" si="2"/>
        <v>154</v>
      </c>
      <c r="B155" s="143" t="s">
        <v>271</v>
      </c>
      <c r="C155" s="141" t="s">
        <v>21</v>
      </c>
      <c r="D155" s="134">
        <f>'Dél Akku'!K25</f>
        <v>0</v>
      </c>
      <c r="E155" t="s">
        <v>301</v>
      </c>
    </row>
    <row r="156" spans="1:5" ht="18.75">
      <c r="A156" s="133">
        <f t="shared" si="2"/>
        <v>155</v>
      </c>
      <c r="B156" s="141" t="s">
        <v>257</v>
      </c>
      <c r="C156" s="141" t="s">
        <v>17</v>
      </c>
      <c r="D156" s="134">
        <f>Privát!J25</f>
        <v>0</v>
      </c>
      <c r="E156" s="94" t="s">
        <v>300</v>
      </c>
    </row>
    <row r="157" spans="1:5" ht="18.75">
      <c r="A157" s="133">
        <f t="shared" si="2"/>
        <v>156</v>
      </c>
      <c r="B157" s="140" t="s">
        <v>32</v>
      </c>
      <c r="C157" s="140" t="s">
        <v>196</v>
      </c>
      <c r="D157" s="134">
        <f>Démász!L25</f>
        <v>0</v>
      </c>
      <c r="E157" t="s">
        <v>301</v>
      </c>
    </row>
    <row r="158" spans="1:5" ht="18.75">
      <c r="A158" s="133">
        <f t="shared" si="2"/>
        <v>157</v>
      </c>
      <c r="B158" s="140" t="s">
        <v>136</v>
      </c>
      <c r="C158" s="140" t="s">
        <v>228</v>
      </c>
      <c r="D158" s="134">
        <f>'Anro ker'!I25</f>
        <v>0</v>
      </c>
      <c r="E158" t="s">
        <v>301</v>
      </c>
    </row>
    <row r="159" spans="1:5" ht="18.75">
      <c r="A159" s="133">
        <f t="shared" si="2"/>
        <v>158</v>
      </c>
      <c r="B159" s="140" t="s">
        <v>104</v>
      </c>
      <c r="C159" s="140" t="s">
        <v>207</v>
      </c>
      <c r="D159" s="134">
        <f>Kalmár!C25</f>
        <v>0</v>
      </c>
      <c r="E159" t="s">
        <v>301</v>
      </c>
    </row>
    <row r="160" spans="1:5" ht="18.75">
      <c r="A160" s="133">
        <f t="shared" si="2"/>
        <v>159</v>
      </c>
      <c r="B160" s="143" t="s">
        <v>268</v>
      </c>
      <c r="C160" s="140" t="s">
        <v>264</v>
      </c>
      <c r="D160" s="134">
        <f>'Amazonok és Titánok'!L25</f>
        <v>0</v>
      </c>
      <c r="E160" t="s">
        <v>301</v>
      </c>
    </row>
    <row r="161" spans="1:5" ht="18.75">
      <c r="A161" s="133">
        <f t="shared" si="2"/>
        <v>160</v>
      </c>
      <c r="B161" s="140" t="s">
        <v>59</v>
      </c>
      <c r="C161" s="140" t="s">
        <v>21</v>
      </c>
      <c r="D161" s="134">
        <f>'Dél Akku'!H25</f>
        <v>0</v>
      </c>
      <c r="E161" t="s">
        <v>301</v>
      </c>
    </row>
    <row r="162" spans="1:5" ht="18.75">
      <c r="A162" s="133">
        <f t="shared" si="2"/>
        <v>161</v>
      </c>
      <c r="B162" s="140" t="s">
        <v>178</v>
      </c>
      <c r="C162" s="140" t="s">
        <v>196</v>
      </c>
      <c r="D162" s="134">
        <f>Démász!G25</f>
        <v>0</v>
      </c>
      <c r="E162" t="s">
        <v>301</v>
      </c>
    </row>
    <row r="163" spans="1:5" ht="18.75">
      <c r="A163" s="133">
        <f t="shared" si="2"/>
        <v>162</v>
      </c>
      <c r="B163" s="141" t="s">
        <v>254</v>
      </c>
      <c r="C163" s="141" t="s">
        <v>21</v>
      </c>
      <c r="D163" s="134">
        <f>'Dél Akku'!J25</f>
        <v>0</v>
      </c>
      <c r="E163" t="s">
        <v>301</v>
      </c>
    </row>
    <row r="164" spans="1:5" ht="18.75">
      <c r="A164" s="133">
        <f t="shared" si="2"/>
        <v>163</v>
      </c>
      <c r="B164" s="140" t="s">
        <v>119</v>
      </c>
      <c r="C164" s="140" t="s">
        <v>15</v>
      </c>
      <c r="D164" s="134">
        <f>Tápé!K25</f>
        <v>0</v>
      </c>
      <c r="E164" t="s">
        <v>301</v>
      </c>
    </row>
    <row r="165" spans="1:5" ht="19.5" thickBot="1">
      <c r="A165" s="133">
        <f t="shared" si="2"/>
        <v>164</v>
      </c>
      <c r="B165" s="317" t="s">
        <v>191</v>
      </c>
      <c r="C165" s="140" t="s">
        <v>260</v>
      </c>
      <c r="D165" s="134">
        <f>Gumigyár!J25</f>
        <v>0</v>
      </c>
      <c r="E165" t="s">
        <v>301</v>
      </c>
    </row>
    <row r="166" ht="12.75">
      <c r="C166" s="96"/>
    </row>
    <row r="167" spans="2:3" ht="12.75">
      <c r="B167" s="96"/>
      <c r="C167" s="96"/>
    </row>
    <row r="168" spans="2:3" ht="12.75">
      <c r="B168" s="96"/>
      <c r="C168" s="96"/>
    </row>
    <row r="169" spans="2:3" ht="12.75">
      <c r="B169" s="96"/>
      <c r="C169" s="96"/>
    </row>
    <row r="170" spans="2:3" ht="12.75">
      <c r="B170" s="96"/>
      <c r="C170" s="96"/>
    </row>
    <row r="171" spans="2:3" ht="12.75">
      <c r="B171" s="96"/>
      <c r="C171" s="96"/>
    </row>
    <row r="172" spans="2:3" ht="12.75">
      <c r="B172" s="96"/>
      <c r="C172" s="96"/>
    </row>
    <row r="173" spans="2:3" ht="12.75">
      <c r="B173" s="96"/>
      <c r="C173" s="96"/>
    </row>
    <row r="174" spans="2:3" ht="12.75">
      <c r="B174" s="96"/>
      <c r="C174" s="96"/>
    </row>
    <row r="175" spans="2:3" ht="12.75">
      <c r="B175" s="96"/>
      <c r="C175" s="96"/>
    </row>
    <row r="176" spans="2:3" ht="12.75">
      <c r="B176" s="96"/>
      <c r="C176" s="96"/>
    </row>
    <row r="177" spans="2:3" ht="12.75">
      <c r="B177" s="96"/>
      <c r="C177" s="96"/>
    </row>
    <row r="178" spans="2:3" ht="12.75">
      <c r="B178" s="96"/>
      <c r="C178" s="96"/>
    </row>
    <row r="179" spans="2:3" ht="12.75">
      <c r="B179" s="96"/>
      <c r="C179" s="96"/>
    </row>
    <row r="180" spans="2:3" ht="12.75">
      <c r="B180" s="96"/>
      <c r="C180" s="96"/>
    </row>
    <row r="181" spans="2:3" ht="12.75">
      <c r="B181" s="96"/>
      <c r="C181" s="96"/>
    </row>
    <row r="182" spans="2:3" ht="12.75">
      <c r="B182" s="96"/>
      <c r="C182" s="96"/>
    </row>
    <row r="183" spans="2:3" ht="12.75">
      <c r="B183" s="96"/>
      <c r="C183" s="96"/>
    </row>
    <row r="184" spans="2:3" ht="12.75">
      <c r="B184" s="96"/>
      <c r="C184" s="96"/>
    </row>
    <row r="185" spans="2:3" ht="12.75">
      <c r="B185" s="96"/>
      <c r="C185" s="96"/>
    </row>
    <row r="186" spans="2:3" ht="12.75">
      <c r="B186" s="96"/>
      <c r="C186" s="96"/>
    </row>
    <row r="187" spans="2:3" ht="12.75">
      <c r="B187" s="96"/>
      <c r="C187" s="96"/>
    </row>
    <row r="188" spans="2:3" ht="12.75">
      <c r="B188" s="96"/>
      <c r="C188" s="96"/>
    </row>
    <row r="189" spans="2:3" ht="12.75">
      <c r="B189" s="96"/>
      <c r="C189" s="96"/>
    </row>
    <row r="190" spans="2:3" ht="12.75">
      <c r="B190" s="96"/>
      <c r="C190" s="96"/>
    </row>
    <row r="191" spans="2:3" ht="12.75">
      <c r="B191" s="96"/>
      <c r="C191" s="96"/>
    </row>
    <row r="192" spans="2:3" ht="12.75">
      <c r="B192" s="96"/>
      <c r="C192" s="96"/>
    </row>
    <row r="193" spans="2:3" ht="12.75">
      <c r="B193" s="96"/>
      <c r="C193" s="96"/>
    </row>
    <row r="194" spans="2:3" ht="12.75">
      <c r="B194" s="96"/>
      <c r="C194" s="96"/>
    </row>
    <row r="195" spans="2:3" ht="12.75">
      <c r="B195" s="96"/>
      <c r="C195" s="96"/>
    </row>
    <row r="196" spans="2:3" ht="12.75">
      <c r="B196" s="96"/>
      <c r="C196" s="96"/>
    </row>
    <row r="197" spans="2:3" ht="12.75">
      <c r="B197" s="96"/>
      <c r="C197" s="96"/>
    </row>
    <row r="198" spans="2:3" ht="12.75">
      <c r="B198" s="96"/>
      <c r="C198" s="96"/>
    </row>
    <row r="199" spans="2:3" ht="12.75">
      <c r="B199" s="96"/>
      <c r="C199" s="96"/>
    </row>
    <row r="200" spans="2:3" ht="12.75">
      <c r="B200" s="96"/>
      <c r="C200" s="96"/>
    </row>
    <row r="201" spans="2:3" ht="12.75">
      <c r="B201" s="96"/>
      <c r="C201" s="96"/>
    </row>
    <row r="202" spans="2:3" ht="12.75">
      <c r="B202" s="96"/>
      <c r="C202" s="96"/>
    </row>
    <row r="203" spans="2:3" ht="12.75">
      <c r="B203" s="96"/>
      <c r="C203" s="96"/>
    </row>
    <row r="204" spans="2:3" ht="12.75">
      <c r="B204" s="96"/>
      <c r="C204" s="96"/>
    </row>
    <row r="205" spans="2:3" ht="12.75">
      <c r="B205" s="96"/>
      <c r="C205" s="96"/>
    </row>
    <row r="206" spans="2:3" ht="12.75">
      <c r="B206" s="96"/>
      <c r="C206" s="96"/>
    </row>
    <row r="207" spans="2:3" ht="12.75">
      <c r="B207" s="96"/>
      <c r="C207" s="96"/>
    </row>
    <row r="208" spans="2:3" ht="12.75">
      <c r="B208" s="96"/>
      <c r="C208" s="96"/>
    </row>
    <row r="209" spans="2:3" ht="12.75">
      <c r="B209" s="96"/>
      <c r="C209" s="96"/>
    </row>
    <row r="210" spans="2:3" ht="12.75">
      <c r="B210" s="96"/>
      <c r="C210" s="96"/>
    </row>
    <row r="211" spans="2:3" ht="12.75">
      <c r="B211" s="96"/>
      <c r="C211" s="96"/>
    </row>
    <row r="212" spans="2:3" ht="12.75">
      <c r="B212" s="96"/>
      <c r="C212" s="96"/>
    </row>
    <row r="213" spans="2:3" ht="12.75">
      <c r="B213" s="96"/>
      <c r="C213" s="96"/>
    </row>
    <row r="214" spans="2:3" ht="12.75">
      <c r="B214" s="96"/>
      <c r="C214" s="96"/>
    </row>
    <row r="215" spans="2:3" ht="12.75">
      <c r="B215" s="96"/>
      <c r="C215" s="96"/>
    </row>
    <row r="216" spans="2:3" ht="12.75">
      <c r="B216" s="96"/>
      <c r="C216" s="96"/>
    </row>
    <row r="217" spans="2:3" ht="12.75">
      <c r="B217" s="96"/>
      <c r="C217" s="96"/>
    </row>
    <row r="218" spans="2:3" ht="12.75">
      <c r="B218" s="96"/>
      <c r="C218" s="96"/>
    </row>
    <row r="219" spans="2:3" ht="12.75">
      <c r="B219" s="96"/>
      <c r="C219" s="96"/>
    </row>
    <row r="220" spans="2:3" ht="12.75">
      <c r="B220" s="96"/>
      <c r="C220" s="96"/>
    </row>
    <row r="221" spans="2:3" ht="12.75">
      <c r="B221" s="96"/>
      <c r="C221" s="96"/>
    </row>
    <row r="222" spans="2:3" ht="12.75">
      <c r="B222" s="96"/>
      <c r="C222" s="96"/>
    </row>
    <row r="223" spans="2:3" ht="12.75">
      <c r="B223" s="96"/>
      <c r="C223" s="96"/>
    </row>
    <row r="224" spans="2:3" ht="12.75">
      <c r="B224" s="96"/>
      <c r="C224" s="96"/>
    </row>
    <row r="225" spans="2:3" ht="12.75">
      <c r="B225" s="96"/>
      <c r="C225" s="96"/>
    </row>
    <row r="226" spans="2:3" ht="12.75">
      <c r="B226" s="96"/>
      <c r="C226" s="96"/>
    </row>
    <row r="227" spans="2:3" ht="12.75">
      <c r="B227" s="96"/>
      <c r="C227" s="96"/>
    </row>
    <row r="228" spans="2:3" ht="12.75">
      <c r="B228" s="96"/>
      <c r="C228" s="96"/>
    </row>
    <row r="229" spans="2:3" ht="12.75">
      <c r="B229" s="96"/>
      <c r="C229" s="96"/>
    </row>
    <row r="230" spans="2:3" ht="12.75">
      <c r="B230" s="96"/>
      <c r="C230" s="96"/>
    </row>
    <row r="231" spans="2:3" ht="12.75">
      <c r="B231" s="96"/>
      <c r="C231" s="96"/>
    </row>
    <row r="232" spans="2:3" ht="12.75">
      <c r="B232" s="96"/>
      <c r="C232" s="96"/>
    </row>
    <row r="233" spans="2:3" ht="12.75">
      <c r="B233" s="96"/>
      <c r="C233" s="96"/>
    </row>
    <row r="234" spans="2:3" ht="12.75">
      <c r="B234" s="96"/>
      <c r="C234" s="96"/>
    </row>
    <row r="235" spans="2:3" ht="12.75">
      <c r="B235" s="96"/>
      <c r="C235" s="96"/>
    </row>
    <row r="236" spans="2:3" ht="12.75">
      <c r="B236" s="96"/>
      <c r="C236" s="96"/>
    </row>
    <row r="237" spans="2:3" ht="12.75">
      <c r="B237" s="96"/>
      <c r="C237" s="96"/>
    </row>
    <row r="238" spans="2:3" ht="12.75">
      <c r="B238" s="96"/>
      <c r="C238" s="96"/>
    </row>
    <row r="239" spans="2:3" ht="12.75">
      <c r="B239" s="96"/>
      <c r="C239" s="96"/>
    </row>
    <row r="240" spans="2:3" ht="12.75">
      <c r="B240" s="96"/>
      <c r="C240" s="96"/>
    </row>
    <row r="241" spans="2:3" ht="12.75">
      <c r="B241" s="96"/>
      <c r="C241" s="96"/>
    </row>
    <row r="242" spans="2:3" ht="12.75">
      <c r="B242" s="96"/>
      <c r="C242" s="96"/>
    </row>
    <row r="243" spans="2:3" ht="12.75">
      <c r="B243" s="96"/>
      <c r="C243" s="96"/>
    </row>
    <row r="244" spans="2:3" ht="12.75">
      <c r="B244" s="96"/>
      <c r="C244" s="96"/>
    </row>
    <row r="245" spans="2:3" ht="12.75">
      <c r="B245" s="96"/>
      <c r="C245" s="96"/>
    </row>
    <row r="246" spans="2:3" ht="12.75">
      <c r="B246" s="96"/>
      <c r="C246" s="96"/>
    </row>
    <row r="247" spans="2:3" ht="12.75">
      <c r="B247" s="96"/>
      <c r="C247" s="96"/>
    </row>
    <row r="248" spans="2:3" ht="12.75">
      <c r="B248" s="96"/>
      <c r="C248" s="96"/>
    </row>
    <row r="249" spans="2:3" ht="12.75">
      <c r="B249" s="96"/>
      <c r="C249" s="96"/>
    </row>
    <row r="250" spans="2:3" ht="12.75">
      <c r="B250" s="96"/>
      <c r="C250" s="96"/>
    </row>
    <row r="251" spans="2:3" ht="12.75">
      <c r="B251" s="96"/>
      <c r="C251" s="96"/>
    </row>
    <row r="252" spans="2:3" ht="12.75">
      <c r="B252" s="96"/>
      <c r="C252" s="96"/>
    </row>
    <row r="253" spans="2:3" ht="12.75">
      <c r="B253" s="96"/>
      <c r="C253" s="96"/>
    </row>
    <row r="254" spans="2:3" ht="12.75">
      <c r="B254" s="96"/>
      <c r="C254" s="96"/>
    </row>
    <row r="255" spans="2:3" ht="12.75">
      <c r="B255" s="96"/>
      <c r="C255" s="96"/>
    </row>
    <row r="256" spans="2:3" ht="12.75">
      <c r="B256" s="96"/>
      <c r="C256" s="96"/>
    </row>
    <row r="257" spans="2:3" ht="12.75">
      <c r="B257" s="96"/>
      <c r="C257" s="96"/>
    </row>
    <row r="258" spans="2:3" ht="12.75">
      <c r="B258" s="96"/>
      <c r="C258" s="96"/>
    </row>
    <row r="259" spans="2:3" ht="12.75">
      <c r="B259" s="96"/>
      <c r="C259" s="96"/>
    </row>
    <row r="260" spans="2:3" ht="12.75">
      <c r="B260" s="96"/>
      <c r="C260" s="96"/>
    </row>
    <row r="261" spans="2:3" ht="12.75">
      <c r="B261" s="96"/>
      <c r="C261" s="96"/>
    </row>
    <row r="262" spans="2:3" ht="12.75">
      <c r="B262" s="96"/>
      <c r="C262" s="96"/>
    </row>
    <row r="263" spans="2:3" ht="12.75">
      <c r="B263" s="96"/>
      <c r="C263" s="96"/>
    </row>
    <row r="264" spans="2:3" ht="12.75">
      <c r="B264" s="96"/>
      <c r="C264" s="96"/>
    </row>
    <row r="265" spans="2:3" ht="12.75">
      <c r="B265" s="96"/>
      <c r="C265" s="96"/>
    </row>
    <row r="266" spans="2:3" ht="12.75">
      <c r="B266" s="96"/>
      <c r="C266" s="96"/>
    </row>
    <row r="267" spans="2:3" ht="12.75">
      <c r="B267" s="96"/>
      <c r="C267" s="96"/>
    </row>
    <row r="268" spans="2:3" ht="12.75">
      <c r="B268" s="96"/>
      <c r="C268" s="96"/>
    </row>
    <row r="269" spans="2:3" ht="12.75">
      <c r="B269" s="96"/>
      <c r="C269" s="96"/>
    </row>
    <row r="270" spans="2:3" ht="12.75">
      <c r="B270" s="96"/>
      <c r="C270" s="96"/>
    </row>
    <row r="271" spans="2:3" ht="12.75">
      <c r="B271" s="96"/>
      <c r="C271" s="96"/>
    </row>
    <row r="272" spans="2:3" ht="12.75">
      <c r="B272" s="96"/>
      <c r="C272" s="96"/>
    </row>
    <row r="273" spans="2:3" ht="12.75">
      <c r="B273" s="96"/>
      <c r="C273" s="96"/>
    </row>
    <row r="274" spans="2:3" ht="12.75">
      <c r="B274" s="96"/>
      <c r="C274" s="96"/>
    </row>
    <row r="275" spans="2:3" ht="12.75">
      <c r="B275" s="96"/>
      <c r="C275" s="96"/>
    </row>
    <row r="276" spans="2:3" ht="12.75">
      <c r="B276" s="96"/>
      <c r="C276" s="96"/>
    </row>
    <row r="277" spans="2:3" ht="12.75">
      <c r="B277" s="96"/>
      <c r="C277" s="96"/>
    </row>
    <row r="278" spans="2:3" ht="12.75">
      <c r="B278" s="96"/>
      <c r="C278" s="96"/>
    </row>
    <row r="279" spans="2:3" ht="12.75">
      <c r="B279" s="96"/>
      <c r="C279" s="96"/>
    </row>
    <row r="280" spans="2:3" ht="12.75">
      <c r="B280" s="96"/>
      <c r="C280" s="96"/>
    </row>
    <row r="281" spans="2:3" ht="12.75">
      <c r="B281" s="96"/>
      <c r="C281" s="96"/>
    </row>
    <row r="282" spans="2:3" ht="12.75">
      <c r="B282" s="96"/>
      <c r="C282" s="96"/>
    </row>
    <row r="283" spans="2:3" ht="12.75">
      <c r="B283" s="96"/>
      <c r="C283" s="96"/>
    </row>
    <row r="284" spans="2:3" ht="12.75">
      <c r="B284" s="96"/>
      <c r="C284" s="96"/>
    </row>
    <row r="285" spans="2:3" ht="12.75">
      <c r="B285" s="96"/>
      <c r="C285" s="96"/>
    </row>
    <row r="286" spans="2:3" ht="12.75">
      <c r="B286" s="96"/>
      <c r="C286" s="96"/>
    </row>
    <row r="287" spans="2:3" ht="12.75">
      <c r="B287" s="96"/>
      <c r="C287" s="96"/>
    </row>
    <row r="288" spans="2:3" ht="12.75">
      <c r="B288" s="96"/>
      <c r="C288" s="96"/>
    </row>
    <row r="289" spans="2:3" ht="12.75">
      <c r="B289" s="96"/>
      <c r="C289" s="96"/>
    </row>
    <row r="290" spans="2:3" ht="12.75">
      <c r="B290" s="96"/>
      <c r="C290" s="96"/>
    </row>
    <row r="291" spans="2:3" ht="12.75">
      <c r="B291" s="96"/>
      <c r="C291" s="96"/>
    </row>
    <row r="292" spans="2:3" ht="12.75">
      <c r="B292" s="96"/>
      <c r="C292" s="96"/>
    </row>
    <row r="293" spans="2:3" ht="12.75">
      <c r="B293" s="96"/>
      <c r="C293" s="96"/>
    </row>
    <row r="294" spans="2:3" ht="12.75">
      <c r="B294" s="96"/>
      <c r="C294" s="96"/>
    </row>
    <row r="295" spans="2:3" ht="12.75">
      <c r="B295" s="96"/>
      <c r="C295" s="96"/>
    </row>
    <row r="296" spans="2:3" ht="12.75">
      <c r="B296" s="96"/>
      <c r="C296" s="96"/>
    </row>
    <row r="297" spans="2:3" ht="12.75">
      <c r="B297" s="96"/>
      <c r="C297" s="96"/>
    </row>
    <row r="298" spans="2:3" ht="12.75">
      <c r="B298" s="96"/>
      <c r="C298" s="96"/>
    </row>
    <row r="299" spans="2:3" ht="12.75">
      <c r="B299" s="96"/>
      <c r="C299" s="96"/>
    </row>
    <row r="300" spans="2:3" ht="12.75">
      <c r="B300" s="96"/>
      <c r="C300" s="96"/>
    </row>
    <row r="301" spans="2:3" ht="12.75">
      <c r="B301" s="96"/>
      <c r="C301" s="96"/>
    </row>
    <row r="302" spans="2:3" ht="12.75">
      <c r="B302" s="96"/>
      <c r="C302" s="96"/>
    </row>
    <row r="303" spans="2:3" ht="12.75">
      <c r="B303" s="96"/>
      <c r="C303" s="96"/>
    </row>
    <row r="304" spans="2:3" ht="12.75">
      <c r="B304" s="96"/>
      <c r="C304" s="96"/>
    </row>
    <row r="305" spans="2:3" ht="12.75">
      <c r="B305" s="96"/>
      <c r="C305" s="96"/>
    </row>
    <row r="306" spans="2:3" ht="12.75">
      <c r="B306" s="96"/>
      <c r="C306" s="96"/>
    </row>
    <row r="307" spans="2:3" ht="12.75">
      <c r="B307" s="96"/>
      <c r="C307" s="96"/>
    </row>
    <row r="308" spans="2:3" ht="12.75">
      <c r="B308" s="96"/>
      <c r="C308" s="96"/>
    </row>
    <row r="309" spans="2:3" ht="12.75">
      <c r="B309" s="96"/>
      <c r="C309" s="96"/>
    </row>
    <row r="310" spans="2:3" ht="12.75">
      <c r="B310" s="96"/>
      <c r="C310" s="96"/>
    </row>
    <row r="311" spans="2:3" ht="12.75">
      <c r="B311" s="96"/>
      <c r="C311" s="96"/>
    </row>
    <row r="312" spans="2:3" ht="12.75">
      <c r="B312" s="96"/>
      <c r="C312" s="96"/>
    </row>
    <row r="313" spans="2:3" ht="12.75">
      <c r="B313" s="96"/>
      <c r="C313" s="96"/>
    </row>
    <row r="314" spans="2:3" ht="12.75">
      <c r="B314" s="96"/>
      <c r="C314" s="96"/>
    </row>
    <row r="315" spans="2:3" ht="12.75">
      <c r="B315" s="96"/>
      <c r="C315" s="96"/>
    </row>
    <row r="316" spans="2:3" ht="12.75">
      <c r="B316" s="96"/>
      <c r="C316" s="96"/>
    </row>
    <row r="317" spans="2:3" ht="12.75">
      <c r="B317" s="96"/>
      <c r="C317" s="96"/>
    </row>
    <row r="318" spans="2:3" ht="12.75">
      <c r="B318" s="96"/>
      <c r="C318" s="96"/>
    </row>
    <row r="319" spans="2:3" ht="12.75">
      <c r="B319" s="96"/>
      <c r="C319" s="96"/>
    </row>
    <row r="320" spans="2:3" ht="12.75">
      <c r="B320" s="96"/>
      <c r="C320" s="96"/>
    </row>
    <row r="321" spans="2:3" ht="12.75">
      <c r="B321" s="96"/>
      <c r="C321" s="96"/>
    </row>
    <row r="322" spans="2:3" ht="12.75">
      <c r="B322" s="96"/>
      <c r="C322" s="96"/>
    </row>
    <row r="323" spans="2:3" ht="12.75">
      <c r="B323" s="96"/>
      <c r="C323" s="96"/>
    </row>
    <row r="324" spans="2:3" ht="12.75">
      <c r="B324" s="96"/>
      <c r="C324" s="96"/>
    </row>
    <row r="325" spans="2:3" ht="12.75">
      <c r="B325" s="96"/>
      <c r="C325" s="96"/>
    </row>
    <row r="326" spans="2:3" ht="12.75">
      <c r="B326" s="96"/>
      <c r="C326" s="96"/>
    </row>
    <row r="327" spans="2:3" ht="12.75">
      <c r="B327" s="96"/>
      <c r="C327" s="96"/>
    </row>
    <row r="328" spans="2:3" ht="12.75">
      <c r="B328" s="96"/>
      <c r="C328" s="96"/>
    </row>
    <row r="329" spans="2:3" ht="12.75">
      <c r="B329" s="96"/>
      <c r="C329" s="96"/>
    </row>
    <row r="330" spans="2:3" ht="12.75">
      <c r="B330" s="96"/>
      <c r="C330" s="96"/>
    </row>
    <row r="331" spans="2:3" ht="12.75">
      <c r="B331" s="96"/>
      <c r="C331" s="96"/>
    </row>
    <row r="332" spans="2:3" ht="12.75">
      <c r="B332" s="96"/>
      <c r="C332" s="96"/>
    </row>
    <row r="333" spans="2:3" ht="12.75">
      <c r="B333" s="96"/>
      <c r="C333" s="96"/>
    </row>
    <row r="334" spans="2:3" ht="12.75">
      <c r="B334" s="96"/>
      <c r="C334" s="96"/>
    </row>
    <row r="335" spans="2:3" ht="12.75">
      <c r="B335" s="96"/>
      <c r="C335" s="96"/>
    </row>
    <row r="336" spans="2:3" ht="12.75">
      <c r="B336" s="96"/>
      <c r="C336" s="96"/>
    </row>
    <row r="337" spans="2:3" ht="12.75">
      <c r="B337" s="96"/>
      <c r="C337" s="96"/>
    </row>
    <row r="338" spans="2:3" ht="12.75">
      <c r="B338" s="96"/>
      <c r="C338" s="96"/>
    </row>
    <row r="339" spans="2:3" ht="12.75">
      <c r="B339" s="96"/>
      <c r="C339" s="96"/>
    </row>
    <row r="340" spans="2:3" ht="12.75">
      <c r="B340" s="96"/>
      <c r="C340" s="96"/>
    </row>
    <row r="341" spans="2:3" ht="12.75">
      <c r="B341" s="96"/>
      <c r="C341" s="96"/>
    </row>
    <row r="342" spans="2:3" ht="12.75">
      <c r="B342" s="96"/>
      <c r="C342" s="96"/>
    </row>
    <row r="343" spans="2:3" ht="12.75">
      <c r="B343" s="96"/>
      <c r="C343" s="96"/>
    </row>
    <row r="344" spans="2:3" ht="12.75">
      <c r="B344" s="96"/>
      <c r="C344" s="96"/>
    </row>
    <row r="345" spans="2:3" ht="12.75">
      <c r="B345" s="96"/>
      <c r="C345" s="96"/>
    </row>
    <row r="346" spans="2:3" ht="12.75">
      <c r="B346" s="96"/>
      <c r="C346" s="96"/>
    </row>
    <row r="347" spans="2:3" ht="12.75">
      <c r="B347" s="96"/>
      <c r="C347" s="96"/>
    </row>
    <row r="348" spans="2:3" ht="12.75">
      <c r="B348" s="96"/>
      <c r="C348" s="96"/>
    </row>
    <row r="349" spans="2:3" ht="12.75">
      <c r="B349" s="96"/>
      <c r="C349" s="96"/>
    </row>
    <row r="350" spans="2:3" ht="12.75">
      <c r="B350" s="96"/>
      <c r="C350" s="96"/>
    </row>
    <row r="351" spans="2:3" ht="12.75">
      <c r="B351" s="96"/>
      <c r="C351" s="96"/>
    </row>
    <row r="352" spans="2:3" ht="12.75">
      <c r="B352" s="96"/>
      <c r="C352" s="96"/>
    </row>
    <row r="353" spans="2:3" ht="12.75">
      <c r="B353" s="96"/>
      <c r="C353" s="96"/>
    </row>
    <row r="354" spans="2:3" ht="12.75">
      <c r="B354" s="96"/>
      <c r="C354" s="96"/>
    </row>
    <row r="355" spans="2:3" ht="12.75">
      <c r="B355" s="96"/>
      <c r="C355" s="96"/>
    </row>
    <row r="356" spans="2:3" ht="12.75">
      <c r="B356" s="96"/>
      <c r="C356" s="96"/>
    </row>
    <row r="357" spans="2:3" ht="12.75">
      <c r="B357" s="96"/>
      <c r="C357" s="96"/>
    </row>
    <row r="358" spans="2:3" ht="12.75">
      <c r="B358" s="96"/>
      <c r="C358" s="96"/>
    </row>
    <row r="359" spans="2:3" ht="12.75">
      <c r="B359" s="96"/>
      <c r="C359" s="96"/>
    </row>
    <row r="360" spans="2:3" ht="12.75">
      <c r="B360" s="96"/>
      <c r="C360" s="96"/>
    </row>
    <row r="361" spans="2:3" ht="12.75">
      <c r="B361" s="96"/>
      <c r="C361" s="96"/>
    </row>
    <row r="362" spans="2:3" ht="12.75">
      <c r="B362" s="96"/>
      <c r="C362" s="96"/>
    </row>
    <row r="363" spans="2:3" ht="12.75">
      <c r="B363" s="96"/>
      <c r="C363" s="96"/>
    </row>
    <row r="364" spans="2:3" ht="12.75">
      <c r="B364" s="96"/>
      <c r="C364" s="96"/>
    </row>
    <row r="365" spans="2:3" ht="12.75">
      <c r="B365" s="96"/>
      <c r="C365" s="96"/>
    </row>
    <row r="366" spans="2:3" ht="12.75">
      <c r="B366" s="96"/>
      <c r="C366" s="96"/>
    </row>
    <row r="367" spans="2:3" ht="12.75">
      <c r="B367" s="96"/>
      <c r="C367" s="96"/>
    </row>
    <row r="368" spans="2:3" ht="12.75">
      <c r="B368" s="96"/>
      <c r="C368" s="96"/>
    </row>
    <row r="369" spans="2:3" ht="12.75">
      <c r="B369" s="96"/>
      <c r="C369" s="96"/>
    </row>
    <row r="370" spans="2:3" ht="12.75">
      <c r="B370" s="96"/>
      <c r="C370" s="96"/>
    </row>
    <row r="371" spans="2:3" ht="12.75">
      <c r="B371" s="96"/>
      <c r="C371" s="96"/>
    </row>
    <row r="372" spans="2:3" ht="12.75">
      <c r="B372" s="96"/>
      <c r="C372" s="96"/>
    </row>
    <row r="373" spans="2:3" ht="12.75">
      <c r="B373" s="96"/>
      <c r="C373" s="96"/>
    </row>
    <row r="374" spans="2:3" ht="12.75">
      <c r="B374" s="96"/>
      <c r="C374" s="96"/>
    </row>
    <row r="375" spans="2:3" ht="12.75">
      <c r="B375" s="96"/>
      <c r="C375" s="96"/>
    </row>
    <row r="376" spans="2:3" ht="12.75">
      <c r="B376" s="96"/>
      <c r="C376" s="96"/>
    </row>
    <row r="377" spans="2:3" ht="12.75">
      <c r="B377" s="96"/>
      <c r="C377" s="96"/>
    </row>
    <row r="378" spans="2:3" ht="12.75">
      <c r="B378" s="96"/>
      <c r="C378" s="96"/>
    </row>
    <row r="379" spans="2:3" ht="12.75">
      <c r="B379" s="96"/>
      <c r="C379" s="96"/>
    </row>
    <row r="380" spans="2:3" ht="12.75">
      <c r="B380" s="96"/>
      <c r="C380" s="96"/>
    </row>
    <row r="381" spans="2:3" ht="12.75">
      <c r="B381" s="96"/>
      <c r="C381" s="96"/>
    </row>
    <row r="382" spans="2:3" ht="12.75">
      <c r="B382" s="96"/>
      <c r="C382" s="96"/>
    </row>
    <row r="383" spans="2:3" ht="12.75">
      <c r="B383" s="96"/>
      <c r="C383" s="96"/>
    </row>
    <row r="384" spans="2:3" ht="12.75">
      <c r="B384" s="96"/>
      <c r="C384" s="96"/>
    </row>
    <row r="385" spans="2:3" ht="12.75">
      <c r="B385" s="96"/>
      <c r="C385" s="96"/>
    </row>
    <row r="386" spans="2:3" ht="12.75">
      <c r="B386" s="96"/>
      <c r="C386" s="96"/>
    </row>
    <row r="387" spans="2:3" ht="12.75">
      <c r="B387" s="96"/>
      <c r="C387" s="96"/>
    </row>
    <row r="388" spans="2:3" ht="12.75">
      <c r="B388" s="96"/>
      <c r="C388" s="96"/>
    </row>
    <row r="389" spans="2:3" ht="12.75">
      <c r="B389" s="96"/>
      <c r="C389" s="96"/>
    </row>
    <row r="390" spans="2:3" ht="12.75">
      <c r="B390" s="96"/>
      <c r="C390" s="96"/>
    </row>
    <row r="391" spans="2:3" ht="12.75">
      <c r="B391" s="96"/>
      <c r="C391" s="96"/>
    </row>
    <row r="392" spans="2:3" ht="12.75">
      <c r="B392" s="96"/>
      <c r="C392" s="96"/>
    </row>
    <row r="393" spans="2:3" ht="12.75">
      <c r="B393" s="96"/>
      <c r="C393" s="96"/>
    </row>
    <row r="394" spans="2:3" ht="12.75">
      <c r="B394" s="96"/>
      <c r="C394" s="96"/>
    </row>
    <row r="395" spans="2:3" ht="12.75">
      <c r="B395" s="96"/>
      <c r="C395" s="96"/>
    </row>
    <row r="396" spans="2:3" ht="12.75">
      <c r="B396" s="96"/>
      <c r="C396" s="96"/>
    </row>
    <row r="397" spans="2:3" ht="12.75">
      <c r="B397" s="96"/>
      <c r="C397" s="96"/>
    </row>
    <row r="398" spans="2:3" ht="12.75">
      <c r="B398" s="96"/>
      <c r="C398" s="96"/>
    </row>
    <row r="399" spans="2:3" ht="12.75">
      <c r="B399" s="96"/>
      <c r="C399" s="96"/>
    </row>
    <row r="400" spans="2:3" ht="12.75">
      <c r="B400" s="96"/>
      <c r="C400" s="96"/>
    </row>
    <row r="401" spans="2:3" ht="12.75">
      <c r="B401" s="96"/>
      <c r="C401" s="96"/>
    </row>
    <row r="402" spans="2:3" ht="12.75">
      <c r="B402" s="96"/>
      <c r="C402" s="96"/>
    </row>
    <row r="403" spans="2:3" ht="12.75">
      <c r="B403" s="96"/>
      <c r="C403" s="96"/>
    </row>
    <row r="404" spans="2:3" ht="12.75">
      <c r="B404" s="96"/>
      <c r="C404" s="96"/>
    </row>
    <row r="405" spans="2:3" ht="12.75">
      <c r="B405" s="96"/>
      <c r="C405" s="96"/>
    </row>
    <row r="406" spans="2:3" ht="12.75">
      <c r="B406" s="96"/>
      <c r="C406" s="96"/>
    </row>
    <row r="407" spans="2:3" ht="12.75">
      <c r="B407" s="96"/>
      <c r="C407" s="96"/>
    </row>
    <row r="408" spans="2:3" ht="12.75">
      <c r="B408" s="96"/>
      <c r="C408" s="96"/>
    </row>
    <row r="409" spans="2:3" ht="12.75">
      <c r="B409" s="96"/>
      <c r="C409" s="96"/>
    </row>
    <row r="410" spans="2:3" ht="12.75">
      <c r="B410" s="96"/>
      <c r="C410" s="96"/>
    </row>
    <row r="411" spans="2:3" ht="12.75">
      <c r="B411" s="96"/>
      <c r="C411" s="96"/>
    </row>
    <row r="412" spans="2:3" ht="12.75">
      <c r="B412" s="96"/>
      <c r="C412" s="96"/>
    </row>
    <row r="413" spans="2:3" ht="12.75">
      <c r="B413" s="96"/>
      <c r="C413" s="96"/>
    </row>
    <row r="414" spans="2:3" ht="12.75">
      <c r="B414" s="96"/>
      <c r="C414" s="96"/>
    </row>
    <row r="415" spans="2:3" ht="12.75">
      <c r="B415" s="96"/>
      <c r="C415" s="96"/>
    </row>
    <row r="416" spans="2:3" ht="12.75">
      <c r="B416" s="96"/>
      <c r="C416" s="96"/>
    </row>
    <row r="417" spans="2:3" ht="12.75">
      <c r="B417" s="96"/>
      <c r="C417" s="96"/>
    </row>
    <row r="418" spans="2:3" ht="12.75">
      <c r="B418" s="96"/>
      <c r="C418" s="96"/>
    </row>
    <row r="419" spans="2:3" ht="12.75">
      <c r="B419" s="96"/>
      <c r="C419" s="96"/>
    </row>
    <row r="420" spans="2:3" ht="12.75">
      <c r="B420" s="96"/>
      <c r="C420" s="96"/>
    </row>
    <row r="421" spans="2:3" ht="12.75">
      <c r="B421" s="96"/>
      <c r="C421" s="96"/>
    </row>
    <row r="422" spans="2:3" ht="12.75">
      <c r="B422" s="96"/>
      <c r="C422" s="96"/>
    </row>
    <row r="423" spans="2:3" ht="12.75">
      <c r="B423" s="96"/>
      <c r="C423" s="96"/>
    </row>
    <row r="424" spans="2:3" ht="12.75">
      <c r="B424" s="96"/>
      <c r="C424" s="96"/>
    </row>
    <row r="425" spans="2:3" ht="12.75">
      <c r="B425" s="96"/>
      <c r="C425" s="96"/>
    </row>
    <row r="426" spans="2:3" ht="12.75">
      <c r="B426" s="96"/>
      <c r="C426" s="96"/>
    </row>
    <row r="427" spans="2:3" ht="12.75">
      <c r="B427" s="96"/>
      <c r="C427" s="96"/>
    </row>
    <row r="428" spans="2:3" ht="12.75">
      <c r="B428" s="96"/>
      <c r="C428" s="96"/>
    </row>
    <row r="429" spans="2:3" ht="12.75">
      <c r="B429" s="96"/>
      <c r="C429" s="96"/>
    </row>
    <row r="430" spans="2:3" ht="12.75">
      <c r="B430" s="96"/>
      <c r="C430" s="96"/>
    </row>
    <row r="431" spans="2:3" ht="12.75">
      <c r="B431" s="96"/>
      <c r="C431" s="96"/>
    </row>
    <row r="432" spans="2:3" ht="12.75">
      <c r="B432" s="96"/>
      <c r="C432" s="96"/>
    </row>
    <row r="433" spans="2:3" ht="12.75">
      <c r="B433" s="96"/>
      <c r="C433" s="96"/>
    </row>
    <row r="434" spans="2:3" ht="12.75">
      <c r="B434" s="96"/>
      <c r="C434" s="96"/>
    </row>
    <row r="435" spans="2:3" ht="12.75">
      <c r="B435" s="96"/>
      <c r="C435" s="96"/>
    </row>
    <row r="436" spans="2:3" ht="12.75">
      <c r="B436" s="96"/>
      <c r="C436" s="96"/>
    </row>
    <row r="437" spans="2:3" ht="12.75">
      <c r="B437" s="96"/>
      <c r="C437" s="96"/>
    </row>
    <row r="438" spans="2:3" ht="12.75">
      <c r="B438" s="96"/>
      <c r="C438" s="96"/>
    </row>
    <row r="439" spans="2:3" ht="12.75">
      <c r="B439" s="96"/>
      <c r="C439" s="96"/>
    </row>
    <row r="440" spans="2:3" ht="12.75">
      <c r="B440" s="96"/>
      <c r="C440" s="96"/>
    </row>
    <row r="441" spans="2:3" ht="12.75">
      <c r="B441" s="96"/>
      <c r="C441" s="96"/>
    </row>
    <row r="442" spans="2:3" ht="12.75">
      <c r="B442" s="96"/>
      <c r="C442" s="96"/>
    </row>
    <row r="443" spans="2:3" ht="12.75">
      <c r="B443" s="96"/>
      <c r="C443" s="96"/>
    </row>
    <row r="444" spans="2:3" ht="12.75">
      <c r="B444" s="96"/>
      <c r="C444" s="96"/>
    </row>
    <row r="445" spans="2:3" ht="12.75">
      <c r="B445" s="96"/>
      <c r="C445" s="96"/>
    </row>
    <row r="446" spans="2:3" ht="12.75">
      <c r="B446" s="96"/>
      <c r="C446" s="96"/>
    </row>
    <row r="447" spans="2:3" ht="12.75">
      <c r="B447" s="96"/>
      <c r="C447" s="96"/>
    </row>
    <row r="448" spans="2:3" ht="12.75">
      <c r="B448" s="96"/>
      <c r="C448" s="96"/>
    </row>
    <row r="449" spans="2:3" ht="12.75">
      <c r="B449" s="96"/>
      <c r="C449" s="96"/>
    </row>
    <row r="450" spans="2:3" ht="12.75">
      <c r="B450" s="96"/>
      <c r="C450" s="96"/>
    </row>
    <row r="451" spans="2:3" ht="12.75">
      <c r="B451" s="96"/>
      <c r="C451" s="96"/>
    </row>
    <row r="452" spans="2:3" ht="12.75">
      <c r="B452" s="96"/>
      <c r="C452" s="96"/>
    </row>
    <row r="453" spans="2:3" ht="12.75">
      <c r="B453" s="96"/>
      <c r="C453" s="96"/>
    </row>
    <row r="454" spans="2:3" ht="12.75">
      <c r="B454" s="96"/>
      <c r="C454" s="96"/>
    </row>
    <row r="455" spans="2:3" ht="12.75">
      <c r="B455" s="96"/>
      <c r="C455" s="96"/>
    </row>
    <row r="456" spans="2:3" ht="12.75">
      <c r="B456" s="96"/>
      <c r="C456" s="96"/>
    </row>
    <row r="457" spans="2:3" ht="12.75">
      <c r="B457" s="96"/>
      <c r="C457" s="96"/>
    </row>
    <row r="458" spans="2:3" ht="12.75">
      <c r="B458" s="96"/>
      <c r="C458" s="96"/>
    </row>
    <row r="459" spans="2:3" ht="12.75">
      <c r="B459" s="96"/>
      <c r="C459" s="96"/>
    </row>
    <row r="460" spans="2:3" ht="12.75">
      <c r="B460" s="96"/>
      <c r="C460" s="96"/>
    </row>
    <row r="461" spans="2:3" ht="12.75">
      <c r="B461" s="96"/>
      <c r="C461" s="96"/>
    </row>
    <row r="462" spans="2:3" ht="12.75">
      <c r="B462" s="96"/>
      <c r="C462" s="96"/>
    </row>
    <row r="463" spans="2:3" ht="12.75">
      <c r="B463" s="96"/>
      <c r="C463" s="96"/>
    </row>
    <row r="464" spans="2:3" ht="12.75">
      <c r="B464" s="96"/>
      <c r="C464" s="96"/>
    </row>
    <row r="465" spans="2:3" ht="12.75">
      <c r="B465" s="96"/>
      <c r="C465" s="96"/>
    </row>
    <row r="466" spans="2:3" ht="12.75">
      <c r="B466" s="96"/>
      <c r="C466" s="96"/>
    </row>
    <row r="467" spans="2:3" ht="12.75">
      <c r="B467" s="96"/>
      <c r="C467" s="96"/>
    </row>
    <row r="468" spans="2:3" ht="12.75">
      <c r="B468" s="96"/>
      <c r="C468" s="96"/>
    </row>
    <row r="469" spans="2:3" ht="12.75">
      <c r="B469" s="96"/>
      <c r="C469" s="96"/>
    </row>
    <row r="470" spans="2:3" ht="12.75">
      <c r="B470" s="96"/>
      <c r="C470" s="96"/>
    </row>
    <row r="471" spans="2:3" ht="12.75">
      <c r="B471" s="96"/>
      <c r="C471" s="96"/>
    </row>
    <row r="472" spans="2:3" ht="12.75">
      <c r="B472" s="96"/>
      <c r="C472" s="96"/>
    </row>
    <row r="473" spans="2:3" ht="12.75">
      <c r="B473" s="96"/>
      <c r="C473" s="96"/>
    </row>
    <row r="474" spans="2:3" ht="12.75">
      <c r="B474" s="96"/>
      <c r="C474" s="96"/>
    </row>
    <row r="475" spans="2:3" ht="12.75">
      <c r="B475" s="96"/>
      <c r="C475" s="96"/>
    </row>
    <row r="476" spans="2:3" ht="12.75">
      <c r="B476" s="96"/>
      <c r="C476" s="96"/>
    </row>
    <row r="477" spans="2:3" ht="12.75">
      <c r="B477" s="96"/>
      <c r="C477" s="96"/>
    </row>
    <row r="478" spans="2:3" ht="12.75">
      <c r="B478" s="96"/>
      <c r="C478" s="96"/>
    </row>
    <row r="479" spans="2:3" ht="12.75">
      <c r="B479" s="96"/>
      <c r="C479" s="96"/>
    </row>
    <row r="480" spans="2:3" ht="12.75">
      <c r="B480" s="96"/>
      <c r="C480" s="96"/>
    </row>
    <row r="481" spans="2:3" ht="12.75">
      <c r="B481" s="96"/>
      <c r="C481" s="96"/>
    </row>
    <row r="482" spans="2:3" ht="12.75">
      <c r="B482" s="96"/>
      <c r="C482" s="96"/>
    </row>
    <row r="483" spans="2:3" ht="12.75">
      <c r="B483" s="96"/>
      <c r="C483" s="96"/>
    </row>
    <row r="484" spans="2:3" ht="12.75">
      <c r="B484" s="96"/>
      <c r="C484" s="96"/>
    </row>
    <row r="485" spans="2:3" ht="12.75">
      <c r="B485" s="96"/>
      <c r="C485" s="96"/>
    </row>
    <row r="486" spans="2:3" ht="12.75">
      <c r="B486" s="96"/>
      <c r="C486" s="96"/>
    </row>
    <row r="487" spans="2:3" ht="12.75">
      <c r="B487" s="96"/>
      <c r="C487" s="96"/>
    </row>
    <row r="488" spans="2:3" ht="12.75">
      <c r="B488" s="96"/>
      <c r="C488" s="96"/>
    </row>
    <row r="489" spans="2:3" ht="12.75">
      <c r="B489" s="96"/>
      <c r="C489" s="96"/>
    </row>
    <row r="490" spans="2:3" ht="12.75">
      <c r="B490" s="96"/>
      <c r="C490" s="96"/>
    </row>
    <row r="491" spans="2:3" ht="12.75">
      <c r="B491" s="96"/>
      <c r="C491" s="96"/>
    </row>
    <row r="492" spans="2:3" ht="12.75">
      <c r="B492" s="96"/>
      <c r="C492" s="96"/>
    </row>
    <row r="493" spans="2:3" ht="12.75">
      <c r="B493" s="96"/>
      <c r="C493" s="96"/>
    </row>
    <row r="494" spans="2:3" ht="12.75">
      <c r="B494" s="96"/>
      <c r="C494" s="96"/>
    </row>
    <row r="495" spans="2:3" ht="12.75">
      <c r="B495" s="96"/>
      <c r="C495" s="96"/>
    </row>
    <row r="496" spans="2:3" ht="12.75">
      <c r="B496" s="96"/>
      <c r="C496" s="96"/>
    </row>
    <row r="497" spans="2:3" ht="12.75">
      <c r="B497" s="96"/>
      <c r="C497" s="96"/>
    </row>
    <row r="498" spans="2:3" ht="12.75">
      <c r="B498" s="96"/>
      <c r="C498" s="96"/>
    </row>
    <row r="499" spans="2:3" ht="12.75">
      <c r="B499" s="96"/>
      <c r="C499" s="96"/>
    </row>
    <row r="500" spans="2:3" ht="12.75">
      <c r="B500" s="96"/>
      <c r="C500" s="96"/>
    </row>
    <row r="501" spans="2:3" ht="12.75">
      <c r="B501" s="96"/>
      <c r="C501" s="96"/>
    </row>
    <row r="502" spans="2:3" ht="12.75">
      <c r="B502" s="96"/>
      <c r="C502" s="96"/>
    </row>
    <row r="503" spans="2:3" ht="12.75">
      <c r="B503" s="96"/>
      <c r="C503" s="96"/>
    </row>
    <row r="504" spans="2:3" ht="12.75">
      <c r="B504" s="96"/>
      <c r="C504" s="96"/>
    </row>
    <row r="505" spans="2:3" ht="12.75">
      <c r="B505" s="96"/>
      <c r="C505" s="96"/>
    </row>
    <row r="506" spans="2:3" ht="12.75">
      <c r="B506" s="96"/>
      <c r="C506" s="96"/>
    </row>
    <row r="507" spans="2:3" ht="12.75">
      <c r="B507" s="96"/>
      <c r="C507" s="96"/>
    </row>
    <row r="508" spans="2:3" ht="12.75">
      <c r="B508" s="96"/>
      <c r="C508" s="96"/>
    </row>
    <row r="509" spans="2:3" ht="12.75">
      <c r="B509" s="96"/>
      <c r="C509" s="96"/>
    </row>
    <row r="510" spans="2:3" ht="12.75">
      <c r="B510" s="96"/>
      <c r="C510" s="96"/>
    </row>
    <row r="511" spans="2:3" ht="12.75">
      <c r="B511" s="96"/>
      <c r="C511" s="96"/>
    </row>
    <row r="512" spans="2:3" ht="12.75">
      <c r="B512" s="96"/>
      <c r="C512" s="96"/>
    </row>
    <row r="513" spans="2:3" ht="12.75">
      <c r="B513" s="96"/>
      <c r="C513" s="96"/>
    </row>
    <row r="514" spans="2:3" ht="12.75">
      <c r="B514" s="96"/>
      <c r="C514" s="96"/>
    </row>
    <row r="515" spans="2:3" ht="12.75">
      <c r="B515" s="96"/>
      <c r="C515" s="96"/>
    </row>
    <row r="516" spans="2:3" ht="12.75">
      <c r="B516" s="96"/>
      <c r="C516" s="96"/>
    </row>
    <row r="517" spans="2:3" ht="12.75">
      <c r="B517" s="96"/>
      <c r="C517" s="96"/>
    </row>
    <row r="518" spans="2:3" ht="12.75">
      <c r="B518" s="96"/>
      <c r="C518" s="96"/>
    </row>
    <row r="519" spans="2:3" ht="12.75">
      <c r="B519" s="96"/>
      <c r="C519" s="96"/>
    </row>
    <row r="520" spans="2:3" ht="12.75">
      <c r="B520" s="96"/>
      <c r="C520" s="96"/>
    </row>
    <row r="521" spans="2:3" ht="12.75">
      <c r="B521" s="96"/>
      <c r="C521" s="96"/>
    </row>
    <row r="522" spans="2:3" ht="12.75">
      <c r="B522" s="96"/>
      <c r="C522" s="96"/>
    </row>
    <row r="523" spans="2:3" ht="12.75">
      <c r="B523" s="96"/>
      <c r="C523" s="96"/>
    </row>
    <row r="524" spans="2:3" ht="12.75">
      <c r="B524" s="96"/>
      <c r="C524" s="96"/>
    </row>
    <row r="525" spans="2:3" ht="12.75">
      <c r="B525" s="96"/>
      <c r="C525" s="96"/>
    </row>
    <row r="526" spans="2:3" ht="12.75">
      <c r="B526" s="96"/>
      <c r="C526" s="96"/>
    </row>
    <row r="527" spans="2:3" ht="12.75">
      <c r="B527" s="96"/>
      <c r="C527" s="96"/>
    </row>
    <row r="528" spans="2:3" ht="12.75">
      <c r="B528" s="96"/>
      <c r="C528" s="96"/>
    </row>
    <row r="529" spans="2:3" ht="12.75">
      <c r="B529" s="96"/>
      <c r="C529" s="96"/>
    </row>
    <row r="530" spans="2:3" ht="12.75">
      <c r="B530" s="96"/>
      <c r="C530" s="96"/>
    </row>
    <row r="531" spans="2:3" ht="12.75">
      <c r="B531" s="96"/>
      <c r="C531" s="96"/>
    </row>
    <row r="532" spans="2:3" ht="12.75">
      <c r="B532" s="96"/>
      <c r="C532" s="96"/>
    </row>
    <row r="533" spans="2:3" ht="12.75">
      <c r="B533" s="96"/>
      <c r="C533" s="96"/>
    </row>
    <row r="534" spans="2:3" ht="12.75">
      <c r="B534" s="96"/>
      <c r="C534" s="96"/>
    </row>
    <row r="535" spans="2:3" ht="12.75">
      <c r="B535" s="96"/>
      <c r="C535" s="96"/>
    </row>
    <row r="536" spans="2:3" ht="12.75">
      <c r="B536" s="96"/>
      <c r="C536" s="96"/>
    </row>
    <row r="537" spans="2:3" ht="12.75">
      <c r="B537" s="96"/>
      <c r="C537" s="96"/>
    </row>
    <row r="538" spans="2:3" ht="12.75">
      <c r="B538" s="96"/>
      <c r="C538" s="96"/>
    </row>
    <row r="539" spans="2:3" ht="12.75">
      <c r="B539" s="96"/>
      <c r="C539" s="96"/>
    </row>
    <row r="540" spans="2:3" ht="12.75">
      <c r="B540" s="96"/>
      <c r="C540" s="96"/>
    </row>
    <row r="541" spans="2:3" ht="12.75">
      <c r="B541" s="96"/>
      <c r="C541" s="96"/>
    </row>
    <row r="542" spans="2:3" ht="12.75">
      <c r="B542" s="96"/>
      <c r="C542" s="96"/>
    </row>
    <row r="543" spans="2:3" ht="12.75">
      <c r="B543" s="96"/>
      <c r="C543" s="96"/>
    </row>
    <row r="544" spans="2:3" ht="12.75">
      <c r="B544" s="96"/>
      <c r="C544" s="96"/>
    </row>
    <row r="545" spans="2:3" ht="12.75">
      <c r="B545" s="96"/>
      <c r="C545" s="96"/>
    </row>
    <row r="546" spans="2:3" ht="12.75">
      <c r="B546" s="96"/>
      <c r="C546" s="96"/>
    </row>
    <row r="547" spans="2:3" ht="12.75">
      <c r="B547" s="96"/>
      <c r="C547" s="96"/>
    </row>
    <row r="548" spans="2:3" ht="12.75">
      <c r="B548" s="96"/>
      <c r="C548" s="96"/>
    </row>
    <row r="549" spans="2:3" ht="12.75">
      <c r="B549" s="96"/>
      <c r="C549" s="96"/>
    </row>
    <row r="550" spans="2:3" ht="12.75">
      <c r="B550" s="96"/>
      <c r="C550" s="96"/>
    </row>
    <row r="551" spans="2:3" ht="12.75">
      <c r="B551" s="96"/>
      <c r="C551" s="96"/>
    </row>
    <row r="552" spans="2:3" ht="12.75">
      <c r="B552" s="96"/>
      <c r="C552" s="96"/>
    </row>
    <row r="553" spans="2:3" ht="12.75">
      <c r="B553" s="96"/>
      <c r="C553" s="96"/>
    </row>
    <row r="554" spans="2:3" ht="12.75">
      <c r="B554" s="96"/>
      <c r="C554" s="96"/>
    </row>
    <row r="555" spans="2:3" ht="12.75">
      <c r="B555" s="96"/>
      <c r="C555" s="96"/>
    </row>
    <row r="556" spans="2:3" ht="12.75">
      <c r="B556" s="96"/>
      <c r="C556" s="96"/>
    </row>
    <row r="557" spans="2:3" ht="12.75">
      <c r="B557" s="96"/>
      <c r="C557" s="96"/>
    </row>
    <row r="558" spans="2:3" ht="12.75">
      <c r="B558" s="96"/>
      <c r="C558" s="96"/>
    </row>
    <row r="559" spans="2:3" ht="12.75">
      <c r="B559" s="96"/>
      <c r="C559" s="96"/>
    </row>
    <row r="560" spans="2:3" ht="12.75">
      <c r="B560" s="96"/>
      <c r="C560" s="96"/>
    </row>
    <row r="561" spans="2:3" ht="12.75">
      <c r="B561" s="96"/>
      <c r="C561" s="96"/>
    </row>
    <row r="562" spans="2:3" ht="12.75">
      <c r="B562" s="96"/>
      <c r="C562" s="96"/>
    </row>
    <row r="563" spans="2:3" ht="12.75">
      <c r="B563" s="96"/>
      <c r="C563" s="96"/>
    </row>
    <row r="564" spans="2:3" ht="12.75">
      <c r="B564" s="96"/>
      <c r="C564" s="96"/>
    </row>
    <row r="565" spans="2:3" ht="12.75">
      <c r="B565" s="96"/>
      <c r="C565" s="96"/>
    </row>
    <row r="566" spans="2:3" ht="12.75">
      <c r="B566" s="96"/>
      <c r="C566" s="96"/>
    </row>
    <row r="567" spans="2:3" ht="12.75">
      <c r="B567" s="96"/>
      <c r="C567" s="96"/>
    </row>
    <row r="568" spans="2:3" ht="12.75">
      <c r="B568" s="96"/>
      <c r="C568" s="96"/>
    </row>
    <row r="569" spans="2:3" ht="12.75">
      <c r="B569" s="96"/>
      <c r="C569" s="96"/>
    </row>
    <row r="570" spans="2:3" ht="12.75">
      <c r="B570" s="96"/>
      <c r="C570" s="96"/>
    </row>
    <row r="571" spans="2:3" ht="12.75">
      <c r="B571" s="96"/>
      <c r="C571" s="96"/>
    </row>
    <row r="572" spans="2:3" ht="12.75">
      <c r="B572" s="96"/>
      <c r="C572" s="96"/>
    </row>
    <row r="573" spans="2:3" ht="12.75">
      <c r="B573" s="96"/>
      <c r="C573" s="96"/>
    </row>
    <row r="574" spans="2:3" ht="12.75">
      <c r="B574" s="96"/>
      <c r="C574" s="96"/>
    </row>
    <row r="575" spans="2:3" ht="12.75">
      <c r="B575" s="96"/>
      <c r="C575" s="96"/>
    </row>
    <row r="576" spans="2:3" ht="12.75">
      <c r="B576" s="96"/>
      <c r="C576" s="96"/>
    </row>
    <row r="577" spans="2:3" ht="12.75">
      <c r="B577" s="96"/>
      <c r="C577" s="96"/>
    </row>
    <row r="578" spans="2:3" ht="12.75">
      <c r="B578" s="96"/>
      <c r="C578" s="96"/>
    </row>
    <row r="579" spans="2:3" ht="12.75">
      <c r="B579" s="96"/>
      <c r="C579" s="96"/>
    </row>
    <row r="580" spans="2:3" ht="12.75">
      <c r="B580" s="96"/>
      <c r="C580" s="96"/>
    </row>
    <row r="581" spans="2:3" ht="12.75">
      <c r="B581" s="96"/>
      <c r="C581" s="96"/>
    </row>
    <row r="582" spans="2:3" ht="12.75">
      <c r="B582" s="96"/>
      <c r="C582" s="96"/>
    </row>
    <row r="583" spans="2:3" ht="12.75">
      <c r="B583" s="96"/>
      <c r="C583" s="96"/>
    </row>
    <row r="584" spans="2:3" ht="12.75">
      <c r="B584" s="96"/>
      <c r="C584" s="96"/>
    </row>
    <row r="585" spans="2:3" ht="12.75">
      <c r="B585" s="96"/>
      <c r="C585" s="96"/>
    </row>
    <row r="586" spans="2:3" ht="12.75">
      <c r="B586" s="96"/>
      <c r="C586" s="96"/>
    </row>
    <row r="587" spans="2:3" ht="12.75">
      <c r="B587" s="96"/>
      <c r="C587" s="96"/>
    </row>
    <row r="588" spans="2:3" ht="12.75">
      <c r="B588" s="96"/>
      <c r="C588" s="96"/>
    </row>
    <row r="589" spans="2:3" ht="12.75">
      <c r="B589" s="96"/>
      <c r="C589" s="96"/>
    </row>
    <row r="590" spans="2:3" ht="12.75">
      <c r="B590" s="96"/>
      <c r="C590" s="96"/>
    </row>
    <row r="591" spans="2:3" ht="12.75">
      <c r="B591" s="96"/>
      <c r="C591" s="96"/>
    </row>
    <row r="592" spans="2:3" ht="12.75">
      <c r="B592" s="96"/>
      <c r="C592" s="96"/>
    </row>
    <row r="593" spans="2:3" ht="12.75">
      <c r="B593" s="96"/>
      <c r="C593" s="96"/>
    </row>
    <row r="594" spans="2:3" ht="12.75">
      <c r="B594" s="96"/>
      <c r="C594" s="96"/>
    </row>
    <row r="595" spans="2:3" ht="12.75">
      <c r="B595" s="96"/>
      <c r="C595" s="96"/>
    </row>
    <row r="596" spans="2:3" ht="12.75">
      <c r="B596" s="96"/>
      <c r="C596" s="96"/>
    </row>
    <row r="597" spans="2:3" ht="12.75">
      <c r="B597" s="96"/>
      <c r="C597" s="96"/>
    </row>
    <row r="598" spans="2:3" ht="12.75">
      <c r="B598" s="96"/>
      <c r="C598" s="96"/>
    </row>
    <row r="599" spans="2:3" ht="12.75">
      <c r="B599" s="96"/>
      <c r="C599" s="96"/>
    </row>
    <row r="600" spans="2:3" ht="12.75">
      <c r="B600" s="96"/>
      <c r="C600" s="96"/>
    </row>
    <row r="601" spans="2:3" ht="12.75">
      <c r="B601" s="96"/>
      <c r="C601" s="96"/>
    </row>
    <row r="602" spans="2:3" ht="12.75">
      <c r="B602" s="96"/>
      <c r="C602" s="96"/>
    </row>
    <row r="603" spans="2:3" ht="12.75">
      <c r="B603" s="96"/>
      <c r="C603" s="96"/>
    </row>
    <row r="604" spans="2:3" ht="12.75">
      <c r="B604" s="96"/>
      <c r="C604" s="96"/>
    </row>
    <row r="605" spans="2:3" ht="12.75">
      <c r="B605" s="96"/>
      <c r="C605" s="96"/>
    </row>
    <row r="606" spans="2:3" ht="12.75">
      <c r="B606" s="96"/>
      <c r="C606" s="96"/>
    </row>
    <row r="607" spans="2:3" ht="12.75">
      <c r="B607" s="96"/>
      <c r="C607" s="96"/>
    </row>
    <row r="608" spans="2:3" ht="12.75">
      <c r="B608" s="96"/>
      <c r="C608" s="96"/>
    </row>
    <row r="609" spans="2:3" ht="12.75">
      <c r="B609" s="96"/>
      <c r="C609" s="96"/>
    </row>
    <row r="610" spans="2:3" ht="12.75">
      <c r="B610" s="96"/>
      <c r="C610" s="96"/>
    </row>
    <row r="611" spans="2:3" ht="12.75">
      <c r="B611" s="96"/>
      <c r="C611" s="96"/>
    </row>
    <row r="612" spans="2:3" ht="12.75">
      <c r="B612" s="96"/>
      <c r="C612" s="96"/>
    </row>
    <row r="613" spans="2:3" ht="12.75">
      <c r="B613" s="96"/>
      <c r="C613" s="96"/>
    </row>
    <row r="614" spans="2:3" ht="12.75">
      <c r="B614" s="96"/>
      <c r="C614" s="96"/>
    </row>
    <row r="615" spans="2:3" ht="12.75">
      <c r="B615" s="96"/>
      <c r="C615" s="96"/>
    </row>
    <row r="616" spans="2:3" ht="12.75">
      <c r="B616" s="96"/>
      <c r="C616" s="96"/>
    </row>
    <row r="617" spans="2:3" ht="12.75">
      <c r="B617" s="96"/>
      <c r="C617" s="96"/>
    </row>
    <row r="618" spans="2:3" ht="12.75">
      <c r="B618" s="96"/>
      <c r="C618" s="96"/>
    </row>
    <row r="619" spans="2:3" ht="12.75">
      <c r="B619" s="96"/>
      <c r="C619" s="96"/>
    </row>
    <row r="620" spans="2:3" ht="12.75">
      <c r="B620" s="96"/>
      <c r="C620" s="96"/>
    </row>
    <row r="621" spans="2:3" ht="12.75">
      <c r="B621" s="96"/>
      <c r="C621" s="96"/>
    </row>
    <row r="622" spans="2:3" ht="12.75">
      <c r="B622" s="96"/>
      <c r="C622" s="96"/>
    </row>
    <row r="623" spans="2:3" ht="12.75">
      <c r="B623" s="96"/>
      <c r="C623" s="96"/>
    </row>
    <row r="624" spans="2:3" ht="12.75">
      <c r="B624" s="96"/>
      <c r="C624" s="96"/>
    </row>
    <row r="625" spans="2:3" ht="12.75">
      <c r="B625" s="96"/>
      <c r="C625" s="96"/>
    </row>
    <row r="626" spans="2:3" ht="12.75">
      <c r="B626" s="96"/>
      <c r="C626" s="96"/>
    </row>
    <row r="627" spans="2:3" ht="12.75">
      <c r="B627" s="96"/>
      <c r="C627" s="96"/>
    </row>
    <row r="628" spans="2:3" ht="12.75">
      <c r="B628" s="96"/>
      <c r="C628" s="96"/>
    </row>
    <row r="629" spans="2:3" ht="12.75">
      <c r="B629" s="96"/>
      <c r="C629" s="96"/>
    </row>
    <row r="630" spans="2:3" ht="12.75">
      <c r="B630" s="96"/>
      <c r="C630" s="96"/>
    </row>
    <row r="631" spans="2:3" ht="12.75">
      <c r="B631" s="96"/>
      <c r="C631" s="96"/>
    </row>
    <row r="632" spans="2:3" ht="12.75">
      <c r="B632" s="96"/>
      <c r="C632" s="96"/>
    </row>
    <row r="633" spans="2:3" ht="12.75">
      <c r="B633" s="96"/>
      <c r="C633" s="96"/>
    </row>
    <row r="634" spans="2:3" ht="12.75">
      <c r="B634" s="96"/>
      <c r="C634" s="96"/>
    </row>
    <row r="635" spans="2:3" ht="12.75">
      <c r="B635" s="96"/>
      <c r="C635" s="96"/>
    </row>
    <row r="636" spans="2:3" ht="12.75">
      <c r="B636" s="96"/>
      <c r="C636" s="96"/>
    </row>
    <row r="637" spans="2:3" ht="12.75">
      <c r="B637" s="96"/>
      <c r="C637" s="96"/>
    </row>
    <row r="638" spans="2:3" ht="12.75">
      <c r="B638" s="96"/>
      <c r="C638" s="96"/>
    </row>
    <row r="639" spans="2:3" ht="12.75">
      <c r="B639" s="96"/>
      <c r="C639" s="96"/>
    </row>
    <row r="640" spans="2:3" ht="12.75">
      <c r="B640" s="96"/>
      <c r="C640" s="96"/>
    </row>
    <row r="641" spans="2:3" ht="12.75">
      <c r="B641" s="96"/>
      <c r="C641" s="96"/>
    </row>
    <row r="642" spans="2:3" ht="12.75">
      <c r="B642" s="96"/>
      <c r="C642" s="96"/>
    </row>
    <row r="643" spans="2:3" ht="12.75">
      <c r="B643" s="96"/>
      <c r="C643" s="96"/>
    </row>
    <row r="644" spans="2:3" ht="12.75">
      <c r="B644" s="96"/>
      <c r="C644" s="96"/>
    </row>
    <row r="645" spans="2:3" ht="12.75">
      <c r="B645" s="96"/>
      <c r="C645" s="96"/>
    </row>
    <row r="646" spans="2:3" ht="12.75">
      <c r="B646" s="96"/>
      <c r="C646" s="96"/>
    </row>
    <row r="647" spans="2:3" ht="12.75">
      <c r="B647" s="96"/>
      <c r="C647" s="96"/>
    </row>
    <row r="648" spans="2:3" ht="12.75">
      <c r="B648" s="96"/>
      <c r="C648" s="96"/>
    </row>
    <row r="649" spans="2:3" ht="12.75">
      <c r="B649" s="96"/>
      <c r="C649" s="96"/>
    </row>
    <row r="650" spans="2:3" ht="12.75">
      <c r="B650" s="96"/>
      <c r="C650" s="96"/>
    </row>
    <row r="651" spans="2:3" ht="12.75">
      <c r="B651" s="96"/>
      <c r="C651" s="96"/>
    </row>
    <row r="652" spans="2:3" ht="12.75">
      <c r="B652" s="96"/>
      <c r="C652" s="96"/>
    </row>
    <row r="653" spans="2:3" ht="12.75">
      <c r="B653" s="96"/>
      <c r="C653" s="96"/>
    </row>
    <row r="654" spans="2:3" ht="12.75">
      <c r="B654" s="96"/>
      <c r="C654" s="96"/>
    </row>
    <row r="655" spans="2:3" ht="12.75">
      <c r="B655" s="96"/>
      <c r="C655" s="96"/>
    </row>
    <row r="656" spans="2:3" ht="12.75">
      <c r="B656" s="96"/>
      <c r="C656" s="96"/>
    </row>
    <row r="657" spans="2:3" ht="12.75">
      <c r="B657" s="96"/>
      <c r="C657" s="96"/>
    </row>
    <row r="658" spans="2:3" ht="12.75">
      <c r="B658" s="96"/>
      <c r="C658" s="96"/>
    </row>
    <row r="659" spans="2:3" ht="12.75">
      <c r="B659" s="96"/>
      <c r="C659" s="96"/>
    </row>
    <row r="660" spans="2:3" ht="12.75">
      <c r="B660" s="96"/>
      <c r="C660" s="96"/>
    </row>
    <row r="661" spans="2:3" ht="12.75">
      <c r="B661" s="96"/>
      <c r="C661" s="96"/>
    </row>
    <row r="662" spans="2:3" ht="12.75">
      <c r="B662" s="96"/>
      <c r="C662" s="96"/>
    </row>
    <row r="663" spans="2:3" ht="12.75">
      <c r="B663" s="96"/>
      <c r="C663" s="96"/>
    </row>
    <row r="664" spans="2:3" ht="12.75">
      <c r="B664" s="96"/>
      <c r="C664" s="96"/>
    </row>
    <row r="665" spans="2:3" ht="12.75">
      <c r="B665" s="96"/>
      <c r="C665" s="96"/>
    </row>
    <row r="666" spans="2:3" ht="12.75">
      <c r="B666" s="96"/>
      <c r="C666" s="96"/>
    </row>
    <row r="667" spans="2:3" ht="12.75">
      <c r="B667" s="96"/>
      <c r="C667" s="96"/>
    </row>
    <row r="668" spans="2:3" ht="12.75">
      <c r="B668" s="96"/>
      <c r="C668" s="96"/>
    </row>
    <row r="669" spans="2:3" ht="12.75">
      <c r="B669" s="96"/>
      <c r="C669" s="96"/>
    </row>
    <row r="670" spans="2:3" ht="12.75">
      <c r="B670" s="96"/>
      <c r="C670" s="96"/>
    </row>
    <row r="671" spans="2:3" ht="12.75">
      <c r="B671" s="96"/>
      <c r="C671" s="96"/>
    </row>
    <row r="672" spans="2:3" ht="12.75">
      <c r="B672" s="96"/>
      <c r="C672" s="96"/>
    </row>
    <row r="673" spans="2:3" ht="12.75">
      <c r="B673" s="96"/>
      <c r="C673" s="96"/>
    </row>
    <row r="674" spans="2:3" ht="12.75">
      <c r="B674" s="96"/>
      <c r="C674" s="96"/>
    </row>
    <row r="675" spans="2:3" ht="12.75">
      <c r="B675" s="96"/>
      <c r="C675" s="96"/>
    </row>
    <row r="676" spans="2:3" ht="12.75">
      <c r="B676" s="96"/>
      <c r="C676" s="96"/>
    </row>
    <row r="677" spans="2:3" ht="12.75">
      <c r="B677" s="96"/>
      <c r="C677" s="96"/>
    </row>
    <row r="678" spans="2:3" ht="12.75">
      <c r="B678" s="96"/>
      <c r="C678" s="96"/>
    </row>
    <row r="679" spans="2:3" ht="12.75">
      <c r="B679" s="96"/>
      <c r="C679" s="96"/>
    </row>
    <row r="680" spans="2:3" ht="12.75">
      <c r="B680" s="96"/>
      <c r="C680" s="96"/>
    </row>
    <row r="681" spans="2:3" ht="12.75">
      <c r="B681" s="96"/>
      <c r="C681" s="96"/>
    </row>
    <row r="682" spans="2:3" ht="12.75">
      <c r="B682" s="96"/>
      <c r="C682" s="96"/>
    </row>
    <row r="683" spans="2:3" ht="12.75">
      <c r="B683" s="96"/>
      <c r="C683" s="96"/>
    </row>
    <row r="684" spans="2:3" ht="12.75">
      <c r="B684" s="96"/>
      <c r="C684" s="96"/>
    </row>
    <row r="685" spans="2:3" ht="12.75">
      <c r="B685" s="96"/>
      <c r="C685" s="96"/>
    </row>
    <row r="686" spans="2:3" ht="12.75">
      <c r="B686" s="96"/>
      <c r="C686" s="96"/>
    </row>
    <row r="687" spans="2:3" ht="12.75">
      <c r="B687" s="96"/>
      <c r="C687" s="96"/>
    </row>
    <row r="688" spans="2:3" ht="12.75">
      <c r="B688" s="96"/>
      <c r="C688" s="96"/>
    </row>
    <row r="689" spans="2:3" ht="12.75">
      <c r="B689" s="96"/>
      <c r="C689" s="96"/>
    </row>
    <row r="690" spans="2:3" ht="12.75">
      <c r="B690" s="96"/>
      <c r="C690" s="96"/>
    </row>
    <row r="691" spans="2:3" ht="12.75">
      <c r="B691" s="96"/>
      <c r="C691" s="96"/>
    </row>
    <row r="692" spans="2:3" ht="12.75">
      <c r="B692" s="96"/>
      <c r="C692" s="96"/>
    </row>
    <row r="693" spans="2:3" ht="12.75">
      <c r="B693" s="96"/>
      <c r="C693" s="96"/>
    </row>
    <row r="694" spans="2:3" ht="12.75">
      <c r="B694" s="96"/>
      <c r="C694" s="96"/>
    </row>
    <row r="695" spans="2:3" ht="12.75">
      <c r="B695" s="96"/>
      <c r="C695" s="96"/>
    </row>
    <row r="696" spans="2:3" ht="12.75">
      <c r="B696" s="96"/>
      <c r="C696" s="96"/>
    </row>
    <row r="697" spans="2:3" ht="12.75">
      <c r="B697" s="96"/>
      <c r="C697" s="96"/>
    </row>
    <row r="698" spans="2:3" ht="12.75">
      <c r="B698" s="96"/>
      <c r="C698" s="96"/>
    </row>
    <row r="699" spans="2:3" ht="12.75">
      <c r="B699" s="96"/>
      <c r="C699" s="96"/>
    </row>
    <row r="700" spans="2:3" ht="12.75">
      <c r="B700" s="96"/>
      <c r="C700" s="96"/>
    </row>
    <row r="701" spans="2:3" ht="12.75">
      <c r="B701" s="96"/>
      <c r="C701" s="96"/>
    </row>
    <row r="702" spans="2:3" ht="12.75">
      <c r="B702" s="96"/>
      <c r="C702" s="96"/>
    </row>
    <row r="703" spans="2:3" ht="12.75">
      <c r="B703" s="96"/>
      <c r="C703" s="96"/>
    </row>
    <row r="704" spans="2:3" ht="12.75">
      <c r="B704" s="96"/>
      <c r="C704" s="96"/>
    </row>
    <row r="705" spans="2:3" ht="12.75">
      <c r="B705" s="96"/>
      <c r="C705" s="96"/>
    </row>
    <row r="706" spans="2:3" ht="12.75">
      <c r="B706" s="96"/>
      <c r="C706" s="96"/>
    </row>
    <row r="707" spans="2:3" ht="12.75">
      <c r="B707" s="96"/>
      <c r="C707" s="96"/>
    </row>
    <row r="708" spans="2:3" ht="12.75">
      <c r="B708" s="96"/>
      <c r="C708" s="96"/>
    </row>
    <row r="709" spans="2:3" ht="12.75">
      <c r="B709" s="96"/>
      <c r="C709" s="96"/>
    </row>
    <row r="710" spans="2:3" ht="12.75">
      <c r="B710" s="96"/>
      <c r="C710" s="96"/>
    </row>
    <row r="711" spans="2:3" ht="12.75">
      <c r="B711" s="96"/>
      <c r="C711" s="96"/>
    </row>
    <row r="712" spans="2:3" ht="12.75">
      <c r="B712" s="96"/>
      <c r="C712" s="96"/>
    </row>
    <row r="713" spans="2:3" ht="12.75">
      <c r="B713" s="96"/>
      <c r="C713" s="96"/>
    </row>
    <row r="714" spans="2:3" ht="12.75">
      <c r="B714" s="96"/>
      <c r="C714" s="96"/>
    </row>
    <row r="715" spans="2:3" ht="12.75">
      <c r="B715" s="96"/>
      <c r="C715" s="96"/>
    </row>
    <row r="716" spans="2:3" ht="12.75">
      <c r="B716" s="96"/>
      <c r="C716" s="96"/>
    </row>
    <row r="717" spans="2:3" ht="12.75">
      <c r="B717" s="96"/>
      <c r="C717" s="96"/>
    </row>
    <row r="718" spans="2:3" ht="12.75">
      <c r="B718" s="96"/>
      <c r="C718" s="96"/>
    </row>
    <row r="719" spans="2:3" ht="12.75">
      <c r="B719" s="96"/>
      <c r="C719" s="96"/>
    </row>
    <row r="720" spans="2:3" ht="12.75">
      <c r="B720" s="96"/>
      <c r="C720" s="96"/>
    </row>
    <row r="721" spans="2:3" ht="12.75">
      <c r="B721" s="96"/>
      <c r="C721" s="96"/>
    </row>
    <row r="722" spans="2:3" ht="12.75">
      <c r="B722" s="96"/>
      <c r="C722" s="96"/>
    </row>
    <row r="723" spans="2:3" ht="12.75">
      <c r="B723" s="96"/>
      <c r="C723" s="96"/>
    </row>
    <row r="724" spans="2:3" ht="12.75">
      <c r="B724" s="96"/>
      <c r="C724" s="96"/>
    </row>
    <row r="725" spans="2:3" ht="12.75">
      <c r="B725" s="96"/>
      <c r="C725" s="96"/>
    </row>
    <row r="726" spans="2:3" ht="12.75">
      <c r="B726" s="96"/>
      <c r="C726" s="96"/>
    </row>
    <row r="727" spans="2:3" ht="12.75">
      <c r="B727" s="96"/>
      <c r="C727" s="96"/>
    </row>
    <row r="728" spans="2:3" ht="12.75">
      <c r="B728" s="96"/>
      <c r="C728" s="96"/>
    </row>
    <row r="729" spans="2:3" ht="12.75">
      <c r="B729" s="96"/>
      <c r="C729" s="96"/>
    </row>
    <row r="730" spans="2:3" ht="12.75">
      <c r="B730" s="96"/>
      <c r="C730" s="96"/>
    </row>
    <row r="731" spans="2:3" ht="12.75">
      <c r="B731" s="96"/>
      <c r="C731" s="96"/>
    </row>
    <row r="732" spans="2:3" ht="12.75">
      <c r="B732" s="96"/>
      <c r="C732" s="96"/>
    </row>
    <row r="733" spans="2:3" ht="12.75">
      <c r="B733" s="96"/>
      <c r="C733" s="96"/>
    </row>
    <row r="734" spans="2:3" ht="12.75">
      <c r="B734" s="96"/>
      <c r="C734" s="96"/>
    </row>
    <row r="735" spans="2:3" ht="12.75">
      <c r="B735" s="96"/>
      <c r="C735" s="96"/>
    </row>
    <row r="736" spans="2:3" ht="12.75">
      <c r="B736" s="96"/>
      <c r="C736" s="96"/>
    </row>
    <row r="737" spans="2:3" ht="12.75">
      <c r="B737" s="96"/>
      <c r="C737" s="96"/>
    </row>
    <row r="738" spans="2:3" ht="12.75">
      <c r="B738" s="96"/>
      <c r="C738" s="96"/>
    </row>
    <row r="739" spans="2:3" ht="12.75">
      <c r="B739" s="96"/>
      <c r="C739" s="96"/>
    </row>
    <row r="740" spans="2:3" ht="12.75">
      <c r="B740" s="96"/>
      <c r="C740" s="96"/>
    </row>
    <row r="741" spans="2:3" ht="12.75">
      <c r="B741" s="96"/>
      <c r="C741" s="96"/>
    </row>
    <row r="742" spans="2:3" ht="12.75">
      <c r="B742" s="96"/>
      <c r="C742" s="96"/>
    </row>
    <row r="743" spans="2:3" ht="12.75">
      <c r="B743" s="96"/>
      <c r="C743" s="96"/>
    </row>
    <row r="744" spans="2:3" ht="12.75">
      <c r="B744" s="96"/>
      <c r="C744" s="96"/>
    </row>
    <row r="745" spans="2:3" ht="12.75">
      <c r="B745" s="96"/>
      <c r="C745" s="96"/>
    </row>
    <row r="746" spans="2:3" ht="12.75">
      <c r="B746" s="96"/>
      <c r="C746" s="96"/>
    </row>
    <row r="747" spans="2:3" ht="12.75">
      <c r="B747" s="96"/>
      <c r="C747" s="96"/>
    </row>
    <row r="748" spans="2:3" ht="12.75">
      <c r="B748" s="96"/>
      <c r="C748" s="96"/>
    </row>
    <row r="749" spans="2:3" ht="12.75">
      <c r="B749" s="96"/>
      <c r="C749" s="96"/>
    </row>
    <row r="750" spans="2:3" ht="12.75">
      <c r="B750" s="96"/>
      <c r="C750" s="96"/>
    </row>
    <row r="751" spans="2:3" ht="12.75">
      <c r="B751" s="96"/>
      <c r="C751" s="96"/>
    </row>
    <row r="752" spans="2:3" ht="12.75">
      <c r="B752" s="96"/>
      <c r="C752" s="96"/>
    </row>
    <row r="753" spans="2:3" ht="12.75">
      <c r="B753" s="96"/>
      <c r="C753" s="96"/>
    </row>
    <row r="754" spans="2:3" ht="12.75">
      <c r="B754" s="96"/>
      <c r="C754" s="96"/>
    </row>
    <row r="755" spans="2:3" ht="12.75">
      <c r="B755" s="96"/>
      <c r="C755" s="96"/>
    </row>
    <row r="756" spans="2:3" ht="12.75">
      <c r="B756" s="96"/>
      <c r="C756" s="96"/>
    </row>
    <row r="757" spans="2:3" ht="12.75">
      <c r="B757" s="96"/>
      <c r="C757" s="96"/>
    </row>
    <row r="758" spans="2:3" ht="12.75">
      <c r="B758" s="96"/>
      <c r="C758" s="96"/>
    </row>
    <row r="759" spans="2:3" ht="12.75">
      <c r="B759" s="96"/>
      <c r="C759" s="96"/>
    </row>
    <row r="760" spans="2:3" ht="12.75">
      <c r="B760" s="96"/>
      <c r="C760" s="96"/>
    </row>
    <row r="761" spans="2:3" ht="12.75">
      <c r="B761" s="96"/>
      <c r="C761" s="96"/>
    </row>
    <row r="762" spans="2:3" ht="12.75">
      <c r="B762" s="96"/>
      <c r="C762" s="96"/>
    </row>
    <row r="763" spans="2:3" ht="12.75">
      <c r="B763" s="96"/>
      <c r="C763" s="96"/>
    </row>
    <row r="764" spans="2:3" ht="12.75">
      <c r="B764" s="96"/>
      <c r="C764" s="96"/>
    </row>
    <row r="765" spans="2:3" ht="12.75">
      <c r="B765" s="96"/>
      <c r="C765" s="96"/>
    </row>
    <row r="766" spans="2:3" ht="12.75">
      <c r="B766" s="96"/>
      <c r="C766" s="96"/>
    </row>
    <row r="767" spans="2:3" ht="12.75">
      <c r="B767" s="96"/>
      <c r="C767" s="96"/>
    </row>
    <row r="768" spans="2:3" ht="12.75">
      <c r="B768" s="96"/>
      <c r="C768" s="96"/>
    </row>
    <row r="769" spans="2:3" ht="12.75">
      <c r="B769" s="96"/>
      <c r="C769" s="96"/>
    </row>
    <row r="770" spans="2:3" ht="12.75">
      <c r="B770" s="96"/>
      <c r="C770" s="96"/>
    </row>
    <row r="771" spans="2:3" ht="12.75">
      <c r="B771" s="96"/>
      <c r="C771" s="96"/>
    </row>
    <row r="772" spans="2:3" ht="12.75">
      <c r="B772" s="96"/>
      <c r="C772" s="96"/>
    </row>
    <row r="773" spans="2:3" ht="12.75">
      <c r="B773" s="96"/>
      <c r="C773" s="96"/>
    </row>
    <row r="774" spans="2:3" ht="12.75">
      <c r="B774" s="96"/>
      <c r="C774" s="96"/>
    </row>
    <row r="775" spans="2:3" ht="12.75">
      <c r="B775" s="96"/>
      <c r="C775" s="96"/>
    </row>
    <row r="776" spans="2:3" ht="12.75">
      <c r="B776" s="96"/>
      <c r="C776" s="96"/>
    </row>
    <row r="777" spans="2:3" ht="12.75">
      <c r="B777" s="96"/>
      <c r="C777" s="96"/>
    </row>
    <row r="778" spans="2:3" ht="12.75">
      <c r="B778" s="96"/>
      <c r="C778" s="96"/>
    </row>
    <row r="779" spans="2:3" ht="12.75">
      <c r="B779" s="96"/>
      <c r="C779" s="96"/>
    </row>
    <row r="780" spans="2:3" ht="12.75">
      <c r="B780" s="96"/>
      <c r="C780" s="96"/>
    </row>
    <row r="781" spans="2:3" ht="12.75">
      <c r="B781" s="96"/>
      <c r="C781" s="96"/>
    </row>
    <row r="782" spans="2:3" ht="12.75">
      <c r="B782" s="96"/>
      <c r="C782" s="96"/>
    </row>
    <row r="783" spans="2:3" ht="12.75">
      <c r="B783" s="96"/>
      <c r="C783" s="96"/>
    </row>
    <row r="784" spans="2:3" ht="12.75">
      <c r="B784" s="96"/>
      <c r="C784" s="96"/>
    </row>
    <row r="785" spans="2:3" ht="12.75">
      <c r="B785" s="96"/>
      <c r="C785" s="96"/>
    </row>
    <row r="786" spans="2:3" ht="12.75">
      <c r="B786" s="96"/>
      <c r="C786" s="96"/>
    </row>
    <row r="787" spans="2:3" ht="12.75">
      <c r="B787" s="96"/>
      <c r="C787" s="96"/>
    </row>
    <row r="788" spans="2:3" ht="12.75">
      <c r="B788" s="96"/>
      <c r="C788" s="96"/>
    </row>
    <row r="789" spans="2:3" ht="12.75">
      <c r="B789" s="96"/>
      <c r="C789" s="96"/>
    </row>
    <row r="790" spans="2:3" ht="12.75">
      <c r="B790" s="96"/>
      <c r="C790" s="96"/>
    </row>
    <row r="791" spans="2:3" ht="12.75">
      <c r="B791" s="96"/>
      <c r="C791" s="96"/>
    </row>
    <row r="792" spans="2:3" ht="12.75">
      <c r="B792" s="96"/>
      <c r="C792" s="96"/>
    </row>
    <row r="793" spans="2:3" ht="12.75">
      <c r="B793" s="96"/>
      <c r="C793" s="96"/>
    </row>
    <row r="794" spans="2:3" ht="12.75">
      <c r="B794" s="96"/>
      <c r="C794" s="96"/>
    </row>
    <row r="795" spans="2:3" ht="12.75">
      <c r="B795" s="96"/>
      <c r="C795" s="96"/>
    </row>
    <row r="796" spans="2:3" ht="12.75">
      <c r="B796" s="96"/>
      <c r="C796" s="96"/>
    </row>
    <row r="797" spans="2:3" ht="12.75">
      <c r="B797" s="96"/>
      <c r="C797" s="96"/>
    </row>
    <row r="798" spans="2:3" ht="12.75">
      <c r="B798" s="96"/>
      <c r="C798" s="96"/>
    </row>
    <row r="799" spans="2:3" ht="12.75">
      <c r="B799" s="96"/>
      <c r="C799" s="96"/>
    </row>
    <row r="800" spans="2:3" ht="12.75">
      <c r="B800" s="96"/>
      <c r="C800" s="96"/>
    </row>
    <row r="801" spans="2:3" ht="12.75">
      <c r="B801" s="96"/>
      <c r="C801" s="96"/>
    </row>
    <row r="802" spans="2:3" ht="12.75">
      <c r="B802" s="96"/>
      <c r="C802" s="96"/>
    </row>
    <row r="803" spans="2:3" ht="12.75">
      <c r="B803" s="96"/>
      <c r="C803" s="96"/>
    </row>
    <row r="804" spans="2:3" ht="12.75">
      <c r="B804" s="96"/>
      <c r="C804" s="96"/>
    </row>
    <row r="805" spans="2:3" ht="12.75">
      <c r="B805" s="96"/>
      <c r="C805" s="96"/>
    </row>
    <row r="806" spans="2:3" ht="12.75">
      <c r="B806" s="96"/>
      <c r="C806" s="96"/>
    </row>
    <row r="807" spans="2:3" ht="12.75">
      <c r="B807" s="96"/>
      <c r="C807" s="96"/>
    </row>
    <row r="808" spans="2:3" ht="12.75">
      <c r="B808" s="96"/>
      <c r="C808" s="96"/>
    </row>
    <row r="809" spans="2:3" ht="12.75">
      <c r="B809" s="96"/>
      <c r="C809" s="96"/>
    </row>
    <row r="810" spans="2:3" ht="12.75">
      <c r="B810" s="96"/>
      <c r="C810" s="96"/>
    </row>
    <row r="811" spans="2:3" ht="12.75">
      <c r="B811" s="96"/>
      <c r="C811" s="96"/>
    </row>
    <row r="812" spans="2:3" ht="12.75">
      <c r="B812" s="96"/>
      <c r="C812" s="96"/>
    </row>
    <row r="813" spans="2:3" ht="12.75">
      <c r="B813" s="96"/>
      <c r="C813" s="96"/>
    </row>
    <row r="814" spans="2:3" ht="12.75">
      <c r="B814" s="96"/>
      <c r="C814" s="96"/>
    </row>
    <row r="815" spans="2:3" ht="12.75">
      <c r="B815" s="96"/>
      <c r="C815" s="96"/>
    </row>
    <row r="816" spans="2:3" ht="12.75">
      <c r="B816" s="96"/>
      <c r="C816" s="96"/>
    </row>
    <row r="817" spans="2:3" ht="12.75">
      <c r="B817" s="96"/>
      <c r="C817" s="96"/>
    </row>
    <row r="818" spans="2:3" ht="12.75">
      <c r="B818" s="96"/>
      <c r="C818" s="96"/>
    </row>
    <row r="819" spans="2:3" ht="12.75">
      <c r="B819" s="96"/>
      <c r="C819" s="96"/>
    </row>
    <row r="820" spans="2:3" ht="12.75">
      <c r="B820" s="96"/>
      <c r="C820" s="96"/>
    </row>
    <row r="821" spans="2:3" ht="12.75">
      <c r="B821" s="96"/>
      <c r="C821" s="96"/>
    </row>
    <row r="822" spans="2:3" ht="12.75">
      <c r="B822" s="96"/>
      <c r="C822" s="96"/>
    </row>
    <row r="823" spans="2:3" ht="12.75">
      <c r="B823" s="96"/>
      <c r="C823" s="96"/>
    </row>
    <row r="824" spans="2:3" ht="12.75">
      <c r="B824" s="96"/>
      <c r="C824" s="96"/>
    </row>
    <row r="825" spans="2:3" ht="12.75">
      <c r="B825" s="96"/>
      <c r="C825" s="96"/>
    </row>
  </sheetData>
  <sheetProtection/>
  <autoFilter ref="A1:E165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B25">
      <selection activeCell="J47" sqref="J47:K47"/>
    </sheetView>
  </sheetViews>
  <sheetFormatPr defaultColWidth="9.00390625" defaultRowHeight="12.75"/>
  <cols>
    <col min="1" max="1" width="12.125" style="1" customWidth="1"/>
    <col min="2" max="2" width="21.00390625" style="1" bestFit="1" customWidth="1"/>
    <col min="3" max="3" width="9.75390625" style="1" customWidth="1"/>
    <col min="4" max="4" width="10.625" style="1" customWidth="1"/>
    <col min="5" max="5" width="9.00390625" style="1" customWidth="1"/>
    <col min="6" max="6" width="8.625" style="1" customWidth="1"/>
    <col min="7" max="7" width="11.125" style="1" customWidth="1"/>
    <col min="8" max="8" width="12.875" style="1" customWidth="1"/>
    <col min="9" max="10" width="12.00390625" style="1" customWidth="1"/>
    <col min="11" max="11" width="9.625" style="1" customWidth="1"/>
    <col min="12" max="12" width="13.25390625" style="1" customWidth="1"/>
    <col min="13" max="13" width="17.75390625" style="1" customWidth="1"/>
    <col min="14" max="14" width="11.25390625" style="1" customWidth="1"/>
    <col min="15" max="15" width="10.375" style="1" customWidth="1"/>
    <col min="16" max="16" width="13.375" style="1" customWidth="1"/>
    <col min="17" max="17" width="10.875" style="1" customWidth="1"/>
    <col min="18" max="18" width="9.25390625" style="2" bestFit="1" customWidth="1"/>
    <col min="19" max="19" width="15.125" style="2" bestFit="1" customWidth="1"/>
    <col min="20" max="20" width="12.125" style="2" customWidth="1"/>
  </cols>
  <sheetData>
    <row r="1" spans="1:14" ht="15.75">
      <c r="A1" s="58" t="s">
        <v>141</v>
      </c>
      <c r="B1" s="62"/>
      <c r="C1" s="59" t="s">
        <v>138</v>
      </c>
      <c r="D1" s="59" t="s">
        <v>139</v>
      </c>
      <c r="E1" s="372" t="s">
        <v>140</v>
      </c>
      <c r="F1" s="372"/>
      <c r="H1" s="368" t="s">
        <v>151</v>
      </c>
      <c r="I1" s="368"/>
      <c r="J1" s="11" t="s">
        <v>152</v>
      </c>
      <c r="K1" s="368" t="s">
        <v>126</v>
      </c>
      <c r="L1" s="368"/>
      <c r="M1" s="1" t="s">
        <v>128</v>
      </c>
      <c r="N1" s="18">
        <f>M26/T26</f>
        <v>2584.25</v>
      </c>
    </row>
    <row r="2" spans="8:14" ht="15.75">
      <c r="H2" s="6">
        <f>N26+N48</f>
        <v>167</v>
      </c>
      <c r="I2" s="1">
        <f>O26+O48</f>
        <v>89</v>
      </c>
      <c r="J2" s="6">
        <f>Q26+Q48</f>
        <v>51</v>
      </c>
      <c r="K2" s="373">
        <f>H2-I2</f>
        <v>78</v>
      </c>
      <c r="L2" s="374"/>
      <c r="M2" s="1" t="s">
        <v>234</v>
      </c>
      <c r="N2" s="6">
        <f>M6+M8+M10+M13+M15+M17+M19+M21</f>
        <v>20618</v>
      </c>
    </row>
    <row r="3" spans="8:14" ht="15.75">
      <c r="H3" s="6"/>
      <c r="N3" s="6"/>
    </row>
    <row r="4" spans="3:15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</row>
    <row r="5" spans="2:20" ht="32.25" thickBot="1">
      <c r="B5" s="3" t="s">
        <v>25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110</v>
      </c>
      <c r="J5" s="8" t="s">
        <v>131</v>
      </c>
      <c r="K5" s="8" t="s">
        <v>125</v>
      </c>
      <c r="L5" s="8" t="s">
        <v>200</v>
      </c>
      <c r="M5" s="3" t="s">
        <v>30</v>
      </c>
      <c r="N5" s="3" t="s">
        <v>26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14" customFormat="1" ht="15.75">
      <c r="A6" s="26" t="s">
        <v>0</v>
      </c>
      <c r="B6" s="26" t="s">
        <v>23</v>
      </c>
      <c r="C6" s="243">
        <v>463</v>
      </c>
      <c r="D6" s="47"/>
      <c r="E6" s="251">
        <v>443</v>
      </c>
      <c r="F6" s="47"/>
      <c r="G6" s="251">
        <v>454</v>
      </c>
      <c r="H6" s="47">
        <v>431</v>
      </c>
      <c r="I6" s="47">
        <v>436</v>
      </c>
      <c r="J6" s="47">
        <v>439</v>
      </c>
      <c r="K6" s="47"/>
      <c r="L6" s="210"/>
      <c r="M6" s="109">
        <f>SUM(C6:L6)</f>
        <v>2666</v>
      </c>
      <c r="N6" s="110">
        <v>5</v>
      </c>
      <c r="O6" s="110">
        <v>3</v>
      </c>
      <c r="P6" s="109">
        <v>54</v>
      </c>
      <c r="Q6" s="110">
        <v>2</v>
      </c>
      <c r="R6" s="113">
        <v>1</v>
      </c>
      <c r="S6" s="113"/>
      <c r="T6" s="113"/>
    </row>
    <row r="7" spans="1:20" s="104" customFormat="1" ht="15.75">
      <c r="A7" s="19" t="s">
        <v>1</v>
      </c>
      <c r="B7" s="20" t="s">
        <v>260</v>
      </c>
      <c r="C7" s="121">
        <v>430</v>
      </c>
      <c r="D7" s="129">
        <v>414</v>
      </c>
      <c r="E7" s="129">
        <v>428</v>
      </c>
      <c r="F7" s="129"/>
      <c r="G7" s="254">
        <v>443</v>
      </c>
      <c r="H7" s="129"/>
      <c r="I7" s="254">
        <v>448</v>
      </c>
      <c r="J7" s="129">
        <v>430</v>
      </c>
      <c r="K7" s="129"/>
      <c r="L7" s="157"/>
      <c r="M7" s="154">
        <f>SUM(C7:L7)</f>
        <v>2593</v>
      </c>
      <c r="N7" s="100">
        <v>4</v>
      </c>
      <c r="O7" s="100">
        <v>4</v>
      </c>
      <c r="P7" s="154">
        <v>5</v>
      </c>
      <c r="Q7" s="100">
        <v>1</v>
      </c>
      <c r="R7" s="103"/>
      <c r="S7" s="103">
        <v>1</v>
      </c>
      <c r="T7" s="103"/>
    </row>
    <row r="8" spans="1:20" s="114" customFormat="1" ht="15.75">
      <c r="A8" s="26" t="s">
        <v>2</v>
      </c>
      <c r="B8" s="26" t="s">
        <v>209</v>
      </c>
      <c r="C8" s="265">
        <v>411</v>
      </c>
      <c r="D8" s="158"/>
      <c r="E8" s="158"/>
      <c r="F8" s="158"/>
      <c r="G8" s="264">
        <v>429</v>
      </c>
      <c r="H8" s="264">
        <v>431</v>
      </c>
      <c r="I8" s="158">
        <v>390</v>
      </c>
      <c r="J8" s="158">
        <v>406</v>
      </c>
      <c r="K8" s="158">
        <v>406</v>
      </c>
      <c r="L8" s="159"/>
      <c r="M8" s="109">
        <f>SUM(C8:L8)</f>
        <v>2473</v>
      </c>
      <c r="N8" s="110">
        <v>5</v>
      </c>
      <c r="O8" s="110">
        <v>3</v>
      </c>
      <c r="P8" s="109">
        <f>M8-2417</f>
        <v>56</v>
      </c>
      <c r="Q8" s="110">
        <v>2</v>
      </c>
      <c r="R8" s="113">
        <v>1</v>
      </c>
      <c r="S8" s="113"/>
      <c r="T8" s="113"/>
    </row>
    <row r="9" spans="1:20" s="23" customFormat="1" ht="15.75">
      <c r="A9" s="145" t="s">
        <v>3</v>
      </c>
      <c r="B9" s="145" t="s">
        <v>207</v>
      </c>
      <c r="C9" s="153">
        <v>405</v>
      </c>
      <c r="D9" s="160">
        <v>425</v>
      </c>
      <c r="E9" s="160">
        <v>404</v>
      </c>
      <c r="F9" s="160"/>
      <c r="G9" s="262">
        <v>441</v>
      </c>
      <c r="H9" s="160"/>
      <c r="I9" s="160">
        <v>422</v>
      </c>
      <c r="J9" s="262">
        <v>450</v>
      </c>
      <c r="K9" s="160"/>
      <c r="L9" s="165"/>
      <c r="M9" s="21">
        <f>SUM(C9:L9)</f>
        <v>2547</v>
      </c>
      <c r="N9" s="19">
        <v>2</v>
      </c>
      <c r="O9" s="19">
        <v>6</v>
      </c>
      <c r="P9" s="21">
        <v>-70</v>
      </c>
      <c r="Q9" s="19">
        <v>0</v>
      </c>
      <c r="R9" s="22"/>
      <c r="S9" s="22"/>
      <c r="T9" s="22">
        <v>1</v>
      </c>
    </row>
    <row r="10" spans="1:20" s="30" customFormat="1" ht="15.75">
      <c r="A10" s="26" t="s">
        <v>4</v>
      </c>
      <c r="B10" s="57" t="s">
        <v>205</v>
      </c>
      <c r="C10" s="243">
        <v>431</v>
      </c>
      <c r="D10" s="47">
        <v>402</v>
      </c>
      <c r="E10" s="251">
        <v>428</v>
      </c>
      <c r="F10" s="47"/>
      <c r="G10" s="47">
        <v>397</v>
      </c>
      <c r="H10" s="251">
        <v>428</v>
      </c>
      <c r="I10" s="251">
        <v>426</v>
      </c>
      <c r="J10" s="47"/>
      <c r="K10" s="47"/>
      <c r="L10" s="39"/>
      <c r="M10" s="28">
        <f>SUM(B10:L10)</f>
        <v>2512</v>
      </c>
      <c r="N10" s="26">
        <v>6</v>
      </c>
      <c r="O10" s="26">
        <v>2</v>
      </c>
      <c r="P10" s="28">
        <f>M10-2457</f>
        <v>55</v>
      </c>
      <c r="Q10" s="26">
        <v>2</v>
      </c>
      <c r="R10" s="29">
        <v>1</v>
      </c>
      <c r="S10" s="29"/>
      <c r="T10" s="29"/>
    </row>
    <row r="11" spans="1:20" s="23" customFormat="1" ht="15.75">
      <c r="A11" s="100" t="s">
        <v>5</v>
      </c>
      <c r="B11" s="121" t="s">
        <v>21</v>
      </c>
      <c r="C11" s="258">
        <v>449</v>
      </c>
      <c r="D11" s="129"/>
      <c r="E11" s="254">
        <v>459</v>
      </c>
      <c r="F11" s="129"/>
      <c r="G11" s="129">
        <v>417</v>
      </c>
      <c r="H11" s="129">
        <v>426</v>
      </c>
      <c r="I11" s="254">
        <v>437</v>
      </c>
      <c r="J11" s="254">
        <v>443</v>
      </c>
      <c r="K11" s="129"/>
      <c r="L11" s="157"/>
      <c r="M11" s="21">
        <f>SUM(C11:L11)</f>
        <v>2631</v>
      </c>
      <c r="N11" s="19">
        <v>6</v>
      </c>
      <c r="O11" s="19">
        <v>2</v>
      </c>
      <c r="P11" s="21">
        <v>52</v>
      </c>
      <c r="Q11" s="19">
        <v>2</v>
      </c>
      <c r="R11" s="22">
        <v>1</v>
      </c>
      <c r="S11" s="22"/>
      <c r="T11" s="22"/>
    </row>
    <row r="12" spans="1:20" s="30" customFormat="1" ht="15.75">
      <c r="A12" s="26" t="s">
        <v>6</v>
      </c>
      <c r="B12" s="57" t="s">
        <v>255</v>
      </c>
      <c r="C12" s="166"/>
      <c r="D12" s="167"/>
      <c r="E12" s="167"/>
      <c r="F12" s="167"/>
      <c r="G12" s="167"/>
      <c r="H12" s="167"/>
      <c r="I12" s="167"/>
      <c r="J12" s="167"/>
      <c r="K12" s="167"/>
      <c r="L12" s="168"/>
      <c r="M12" s="28" t="s">
        <v>255</v>
      </c>
      <c r="N12" s="172"/>
      <c r="O12" s="172"/>
      <c r="P12" s="173"/>
      <c r="Q12" s="172"/>
      <c r="R12" s="174"/>
      <c r="S12" s="174"/>
      <c r="T12" s="174"/>
    </row>
    <row r="13" spans="1:20" s="114" customFormat="1" ht="15.75">
      <c r="A13" s="110" t="s">
        <v>7</v>
      </c>
      <c r="B13" s="123" t="s">
        <v>208</v>
      </c>
      <c r="C13" s="265">
        <v>448</v>
      </c>
      <c r="D13" s="158">
        <v>394</v>
      </c>
      <c r="E13" s="264">
        <v>465</v>
      </c>
      <c r="F13" s="158"/>
      <c r="G13" s="264">
        <v>467</v>
      </c>
      <c r="H13" s="158">
        <v>421</v>
      </c>
      <c r="I13" s="158"/>
      <c r="J13" s="264">
        <v>474</v>
      </c>
      <c r="K13" s="158"/>
      <c r="L13" s="159"/>
      <c r="M13" s="109">
        <f aca="true" t="shared" si="0" ref="M13:M18">SUM(C13:L13)</f>
        <v>2669</v>
      </c>
      <c r="N13" s="110">
        <v>6</v>
      </c>
      <c r="O13" s="110">
        <v>2</v>
      </c>
      <c r="P13" s="109">
        <v>39</v>
      </c>
      <c r="Q13" s="110">
        <v>2</v>
      </c>
      <c r="R13" s="113">
        <v>1</v>
      </c>
      <c r="S13" s="113"/>
      <c r="T13" s="113"/>
    </row>
    <row r="14" spans="1:20" s="23" customFormat="1" ht="15.75">
      <c r="A14" s="100" t="s">
        <v>8</v>
      </c>
      <c r="B14" s="121" t="s">
        <v>206</v>
      </c>
      <c r="C14" s="257">
        <v>432</v>
      </c>
      <c r="D14" s="146">
        <v>409</v>
      </c>
      <c r="E14" s="257">
        <v>458</v>
      </c>
      <c r="F14" s="146"/>
      <c r="G14" s="257">
        <v>433</v>
      </c>
      <c r="H14" s="146">
        <v>416</v>
      </c>
      <c r="I14" s="146"/>
      <c r="J14" s="146">
        <v>425</v>
      </c>
      <c r="K14" s="146"/>
      <c r="L14" s="165"/>
      <c r="M14" s="21">
        <f t="shared" si="0"/>
        <v>2573</v>
      </c>
      <c r="N14" s="19">
        <v>5</v>
      </c>
      <c r="O14" s="19">
        <v>3</v>
      </c>
      <c r="P14" s="21">
        <f>M14-2542</f>
        <v>31</v>
      </c>
      <c r="Q14" s="19">
        <v>2</v>
      </c>
      <c r="R14" s="22">
        <v>1</v>
      </c>
      <c r="S14" s="22"/>
      <c r="T14" s="22"/>
    </row>
    <row r="15" spans="1:20" s="114" customFormat="1" ht="15.75">
      <c r="A15" s="110" t="s">
        <v>9</v>
      </c>
      <c r="B15" s="123" t="s">
        <v>20</v>
      </c>
      <c r="C15" s="243">
        <v>453</v>
      </c>
      <c r="D15" s="251">
        <v>429</v>
      </c>
      <c r="E15" s="251">
        <v>450</v>
      </c>
      <c r="F15" s="47"/>
      <c r="G15" s="47">
        <v>408</v>
      </c>
      <c r="H15" s="47"/>
      <c r="I15" s="47"/>
      <c r="J15" s="251">
        <v>422</v>
      </c>
      <c r="K15" s="47">
        <v>413</v>
      </c>
      <c r="L15" s="39"/>
      <c r="M15" s="109">
        <f t="shared" si="0"/>
        <v>2575</v>
      </c>
      <c r="N15" s="110">
        <v>6</v>
      </c>
      <c r="O15" s="110">
        <v>2</v>
      </c>
      <c r="P15" s="109">
        <v>154</v>
      </c>
      <c r="Q15" s="110">
        <v>2</v>
      </c>
      <c r="R15" s="113">
        <v>1</v>
      </c>
      <c r="S15" s="113"/>
      <c r="T15" s="113"/>
    </row>
    <row r="16" spans="1:20" s="23" customFormat="1" ht="15.75">
      <c r="A16" s="100" t="s">
        <v>10</v>
      </c>
      <c r="B16" s="121" t="s">
        <v>22</v>
      </c>
      <c r="C16" s="258">
        <v>430</v>
      </c>
      <c r="D16" s="254">
        <v>420</v>
      </c>
      <c r="E16" s="129">
        <v>379</v>
      </c>
      <c r="F16" s="129">
        <v>399</v>
      </c>
      <c r="G16" s="254">
        <v>446</v>
      </c>
      <c r="H16" s="129"/>
      <c r="I16" s="129"/>
      <c r="J16" s="129"/>
      <c r="K16" s="254">
        <v>422</v>
      </c>
      <c r="L16" s="157"/>
      <c r="M16" s="21">
        <f t="shared" si="0"/>
        <v>2496</v>
      </c>
      <c r="N16" s="19">
        <v>6</v>
      </c>
      <c r="O16" s="19">
        <v>2</v>
      </c>
      <c r="P16" s="21">
        <v>60</v>
      </c>
      <c r="Q16" s="19">
        <v>2</v>
      </c>
      <c r="R16" s="22">
        <v>1</v>
      </c>
      <c r="S16" s="22"/>
      <c r="T16" s="22"/>
    </row>
    <row r="17" spans="1:20" s="114" customFormat="1" ht="15.75">
      <c r="A17" s="110" t="s">
        <v>11</v>
      </c>
      <c r="B17" s="123" t="s">
        <v>196</v>
      </c>
      <c r="C17" s="152"/>
      <c r="D17" s="264">
        <v>443</v>
      </c>
      <c r="E17" s="264">
        <v>461</v>
      </c>
      <c r="F17" s="158"/>
      <c r="G17" s="158">
        <v>421</v>
      </c>
      <c r="H17" s="158"/>
      <c r="I17" s="264">
        <v>437</v>
      </c>
      <c r="J17" s="264">
        <v>459</v>
      </c>
      <c r="K17" s="158">
        <v>414</v>
      </c>
      <c r="L17" s="159"/>
      <c r="M17" s="109">
        <f t="shared" si="0"/>
        <v>2635</v>
      </c>
      <c r="N17" s="110">
        <v>6</v>
      </c>
      <c r="O17" s="110">
        <v>2</v>
      </c>
      <c r="P17" s="109">
        <v>154</v>
      </c>
      <c r="Q17" s="110">
        <v>2</v>
      </c>
      <c r="R17" s="113">
        <v>1</v>
      </c>
      <c r="S17" s="113"/>
      <c r="T17" s="113"/>
    </row>
    <row r="18" spans="1:20" s="23" customFormat="1" ht="15.75">
      <c r="A18" s="100" t="s">
        <v>12</v>
      </c>
      <c r="B18" s="121" t="s">
        <v>19</v>
      </c>
      <c r="C18" s="257">
        <v>474</v>
      </c>
      <c r="D18" s="160">
        <v>410</v>
      </c>
      <c r="E18" s="160">
        <v>424</v>
      </c>
      <c r="F18" s="160"/>
      <c r="G18" s="262">
        <v>447</v>
      </c>
      <c r="H18" s="160"/>
      <c r="I18" s="262">
        <v>446</v>
      </c>
      <c r="J18" s="262">
        <v>436</v>
      </c>
      <c r="K18" s="160"/>
      <c r="L18" s="165"/>
      <c r="M18" s="21">
        <f t="shared" si="0"/>
        <v>2637</v>
      </c>
      <c r="N18" s="19">
        <v>6</v>
      </c>
      <c r="O18" s="19">
        <v>2</v>
      </c>
      <c r="P18" s="21">
        <v>130</v>
      </c>
      <c r="Q18" s="19">
        <v>2</v>
      </c>
      <c r="R18" s="22">
        <v>1</v>
      </c>
      <c r="S18" s="22"/>
      <c r="T18" s="22"/>
    </row>
    <row r="19" spans="1:20" s="114" customFormat="1" ht="15.75">
      <c r="A19" s="110" t="s">
        <v>13</v>
      </c>
      <c r="B19" s="123" t="s">
        <v>264</v>
      </c>
      <c r="C19" s="57">
        <v>384</v>
      </c>
      <c r="D19" s="47"/>
      <c r="E19" s="251">
        <v>442</v>
      </c>
      <c r="F19" s="47"/>
      <c r="G19" s="251">
        <v>445</v>
      </c>
      <c r="H19" s="47"/>
      <c r="I19" s="251">
        <v>422</v>
      </c>
      <c r="J19" s="47">
        <v>413</v>
      </c>
      <c r="K19" s="47">
        <v>416</v>
      </c>
      <c r="L19" s="39"/>
      <c r="M19" s="109">
        <f>SUM(B19:L19)</f>
        <v>2522</v>
      </c>
      <c r="N19" s="110">
        <v>3</v>
      </c>
      <c r="O19" s="110">
        <v>5</v>
      </c>
      <c r="P19" s="109">
        <f>M19-2639</f>
        <v>-117</v>
      </c>
      <c r="Q19" s="110">
        <v>0</v>
      </c>
      <c r="R19" s="113"/>
      <c r="S19" s="113"/>
      <c r="T19" s="113">
        <v>1</v>
      </c>
    </row>
    <row r="20" spans="1:20" s="23" customFormat="1" ht="15.75">
      <c r="A20" s="100" t="s">
        <v>14</v>
      </c>
      <c r="B20" s="121" t="s">
        <v>17</v>
      </c>
      <c r="C20" s="121">
        <v>428</v>
      </c>
      <c r="D20" s="254">
        <v>459</v>
      </c>
      <c r="E20" s="129">
        <v>428</v>
      </c>
      <c r="F20" s="129"/>
      <c r="G20" s="129">
        <v>431</v>
      </c>
      <c r="H20" s="129"/>
      <c r="I20" s="254">
        <v>472</v>
      </c>
      <c r="J20" s="254">
        <v>442</v>
      </c>
      <c r="K20" s="129"/>
      <c r="L20" s="157"/>
      <c r="M20" s="21">
        <f>SUM(B20:L20)</f>
        <v>2660</v>
      </c>
      <c r="N20" s="19">
        <v>5</v>
      </c>
      <c r="O20" s="19">
        <v>3</v>
      </c>
      <c r="P20" s="21">
        <v>97</v>
      </c>
      <c r="Q20" s="19">
        <v>2</v>
      </c>
      <c r="R20" s="22">
        <v>1</v>
      </c>
      <c r="S20" s="22"/>
      <c r="T20" s="22"/>
    </row>
    <row r="21" spans="1:20" s="114" customFormat="1" ht="15.75">
      <c r="A21" s="110" t="s">
        <v>261</v>
      </c>
      <c r="B21" s="123" t="s">
        <v>15</v>
      </c>
      <c r="C21" s="152">
        <v>401</v>
      </c>
      <c r="D21" s="158">
        <v>401</v>
      </c>
      <c r="E21" s="264">
        <v>443</v>
      </c>
      <c r="F21" s="158"/>
      <c r="G21" s="264">
        <v>444</v>
      </c>
      <c r="H21" s="264">
        <v>435</v>
      </c>
      <c r="I21" s="158"/>
      <c r="J21" s="264">
        <v>442</v>
      </c>
      <c r="K21" s="158"/>
      <c r="L21" s="159"/>
      <c r="M21" s="109">
        <f>SUM(B21:L21)</f>
        <v>2566</v>
      </c>
      <c r="N21" s="110">
        <v>4</v>
      </c>
      <c r="O21" s="110">
        <v>4</v>
      </c>
      <c r="P21" s="109">
        <f>2566-2595</f>
        <v>-29</v>
      </c>
      <c r="Q21" s="110">
        <v>1</v>
      </c>
      <c r="R21" s="113"/>
      <c r="S21" s="113">
        <v>1</v>
      </c>
      <c r="T21" s="113"/>
    </row>
    <row r="22" spans="1:20" s="23" customFormat="1" ht="16.5" thickBot="1">
      <c r="A22" s="100" t="s">
        <v>262</v>
      </c>
      <c r="B22" s="121" t="s">
        <v>263</v>
      </c>
      <c r="C22" s="284">
        <v>429</v>
      </c>
      <c r="D22" s="170">
        <v>406</v>
      </c>
      <c r="E22" s="170">
        <v>411</v>
      </c>
      <c r="F22" s="170"/>
      <c r="G22" s="284">
        <v>471</v>
      </c>
      <c r="H22" s="170"/>
      <c r="I22" s="170"/>
      <c r="J22" s="284">
        <v>456</v>
      </c>
      <c r="K22" s="170">
        <v>420</v>
      </c>
      <c r="L22" s="171"/>
      <c r="M22" s="24">
        <f>SUM(B22:L22)</f>
        <v>2593</v>
      </c>
      <c r="N22" s="25">
        <v>3</v>
      </c>
      <c r="O22" s="25">
        <v>5</v>
      </c>
      <c r="P22" s="25">
        <v>-17</v>
      </c>
      <c r="Q22" s="25">
        <v>0</v>
      </c>
      <c r="R22" s="76"/>
      <c r="S22" s="76"/>
      <c r="T22" s="76">
        <v>1</v>
      </c>
    </row>
    <row r="23" spans="2:20" ht="16.5" thickTop="1">
      <c r="B23" s="46"/>
      <c r="C23" s="6">
        <f aca="true" t="shared" si="1" ref="C23:J23">SUM(C6:C22)</f>
        <v>6468</v>
      </c>
      <c r="D23" s="6">
        <f>SUM(D6:D22)</f>
        <v>5012</v>
      </c>
      <c r="E23" s="6">
        <f>SUM(E6:E15)+SUM(E16:E22)</f>
        <v>6523</v>
      </c>
      <c r="F23" s="6">
        <f t="shared" si="1"/>
        <v>399</v>
      </c>
      <c r="G23" s="6">
        <f t="shared" si="1"/>
        <v>6994</v>
      </c>
      <c r="H23" s="6">
        <f t="shared" si="1"/>
        <v>2988</v>
      </c>
      <c r="I23" s="6">
        <f t="shared" si="1"/>
        <v>4336</v>
      </c>
      <c r="J23" s="6">
        <f t="shared" si="1"/>
        <v>6137</v>
      </c>
      <c r="K23" s="6">
        <f>SUM(K6:K22)</f>
        <v>2491</v>
      </c>
      <c r="L23" s="6">
        <f>SUM(L6:L13)</f>
        <v>0</v>
      </c>
      <c r="R23" s="2">
        <f>SUM(R6:R22)</f>
        <v>11</v>
      </c>
      <c r="S23" s="2">
        <f>SUM(S6:S22)</f>
        <v>2</v>
      </c>
      <c r="T23" s="2">
        <f>SUM(T6:T22)</f>
        <v>3</v>
      </c>
    </row>
    <row r="24" spans="2:12" ht="15.75">
      <c r="B24" s="1" t="s">
        <v>224</v>
      </c>
      <c r="C24" s="6">
        <f aca="true" t="shared" si="2" ref="C24:J24">COUNT(C6:C22)</f>
        <v>15</v>
      </c>
      <c r="D24" s="6">
        <f t="shared" si="2"/>
        <v>12</v>
      </c>
      <c r="E24" s="6">
        <f>COUNT(E6:E15)+COUNT(E16:E22)</f>
        <v>15</v>
      </c>
      <c r="F24" s="6">
        <f t="shared" si="2"/>
        <v>1</v>
      </c>
      <c r="G24" s="6">
        <f t="shared" si="2"/>
        <v>16</v>
      </c>
      <c r="H24" s="6">
        <f t="shared" si="2"/>
        <v>7</v>
      </c>
      <c r="I24" s="6">
        <f t="shared" si="2"/>
        <v>10</v>
      </c>
      <c r="J24" s="6">
        <f t="shared" si="2"/>
        <v>14</v>
      </c>
      <c r="K24" s="6">
        <f>COUNT(K6:K22)</f>
        <v>6</v>
      </c>
      <c r="L24" s="6">
        <f>COUNT(L6:L13)</f>
        <v>0</v>
      </c>
    </row>
    <row r="25" spans="2:20" ht="33" customHeight="1">
      <c r="B25" s="11" t="s">
        <v>127</v>
      </c>
      <c r="C25" s="16">
        <f>AVERAGE(C6:C22)</f>
        <v>431.2</v>
      </c>
      <c r="D25" s="16">
        <f>AVERAGE(D6:D22)</f>
        <v>417.6666666666667</v>
      </c>
      <c r="E25" s="16">
        <f>E23/E24</f>
        <v>434.8666666666667</v>
      </c>
      <c r="F25" s="16">
        <f>F23/F24</f>
        <v>399</v>
      </c>
      <c r="G25" s="16">
        <f>AVERAGE(G6:G22)</f>
        <v>437.125</v>
      </c>
      <c r="H25" s="16">
        <f>AVERAGE(H6:H22)</f>
        <v>426.85714285714283</v>
      </c>
      <c r="I25" s="16">
        <f>AVERAGE(I6:I22)</f>
        <v>433.6</v>
      </c>
      <c r="J25" s="16">
        <f>AVERAGE(J6:J22)</f>
        <v>438.35714285714283</v>
      </c>
      <c r="K25" s="16">
        <f>K23/K24</f>
        <v>415.1666666666667</v>
      </c>
      <c r="L25" s="16"/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13" t="s">
        <v>126</v>
      </c>
      <c r="T25" s="74" t="s">
        <v>223</v>
      </c>
    </row>
    <row r="26" spans="13:20" ht="15.75">
      <c r="M26" s="6">
        <f>SUM(M6:M22)</f>
        <v>41348</v>
      </c>
      <c r="N26" s="6">
        <f>SUM(N6:N22)</f>
        <v>78</v>
      </c>
      <c r="O26" s="6">
        <f>SUM(O6:O22)</f>
        <v>50</v>
      </c>
      <c r="P26" s="6">
        <f>SUM(P6:P22)</f>
        <v>654</v>
      </c>
      <c r="Q26" s="6">
        <f>SUM(Q6:Q22)</f>
        <v>24</v>
      </c>
      <c r="S26" s="2">
        <f>N26-O26</f>
        <v>28</v>
      </c>
      <c r="T26" s="2">
        <f>SUM(R23:T23)</f>
        <v>16</v>
      </c>
    </row>
    <row r="27" spans="3:9" ht="15.75">
      <c r="C27" s="377" t="s">
        <v>39</v>
      </c>
      <c r="D27" s="377"/>
      <c r="F27" s="375" t="s">
        <v>132</v>
      </c>
      <c r="G27" s="375"/>
      <c r="H27" s="376" t="s">
        <v>133</v>
      </c>
      <c r="I27" s="376"/>
    </row>
    <row r="28" spans="1:20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24"/>
      <c r="S28" s="224"/>
      <c r="T28" s="224"/>
    </row>
    <row r="29" spans="1:6" ht="15.75">
      <c r="A29" s="51"/>
      <c r="C29" s="49"/>
      <c r="D29" s="49"/>
      <c r="E29" s="50"/>
      <c r="F29" s="49"/>
    </row>
    <row r="30" spans="2:20" ht="32.25" thickBot="1">
      <c r="B30" s="3" t="s">
        <v>25</v>
      </c>
      <c r="C30" s="8" t="s">
        <v>40</v>
      </c>
      <c r="D30" s="8" t="s">
        <v>41</v>
      </c>
      <c r="E30" s="8" t="s">
        <v>42</v>
      </c>
      <c r="F30" s="8" t="s">
        <v>43</v>
      </c>
      <c r="G30" s="8" t="s">
        <v>44</v>
      </c>
      <c r="H30" s="8" t="s">
        <v>45</v>
      </c>
      <c r="I30" s="8" t="s">
        <v>110</v>
      </c>
      <c r="J30" s="8" t="s">
        <v>131</v>
      </c>
      <c r="K30" s="8" t="s">
        <v>125</v>
      </c>
      <c r="L30" s="8" t="s">
        <v>200</v>
      </c>
      <c r="M30" s="3" t="s">
        <v>30</v>
      </c>
      <c r="N30" s="3" t="s">
        <v>26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20" s="30" customFormat="1" ht="15.75">
      <c r="A31" s="110" t="s">
        <v>153</v>
      </c>
      <c r="B31" s="123" t="s">
        <v>206</v>
      </c>
      <c r="C31" s="277">
        <v>419</v>
      </c>
      <c r="D31" s="31">
        <v>386</v>
      </c>
      <c r="E31" s="277">
        <v>467</v>
      </c>
      <c r="F31" s="31"/>
      <c r="G31" s="277">
        <v>446</v>
      </c>
      <c r="H31" s="31"/>
      <c r="I31" s="31">
        <v>414</v>
      </c>
      <c r="J31" s="277">
        <v>442</v>
      </c>
      <c r="K31" s="31"/>
      <c r="L31" s="31"/>
      <c r="M31" s="234">
        <f aca="true" t="shared" si="3" ref="M31:M47">SUM(C31:L31)</f>
        <v>2574</v>
      </c>
      <c r="N31" s="26">
        <v>6</v>
      </c>
      <c r="O31" s="26">
        <v>2</v>
      </c>
      <c r="P31" s="26">
        <v>180</v>
      </c>
      <c r="Q31" s="26">
        <v>2</v>
      </c>
      <c r="R31" s="29">
        <v>1</v>
      </c>
      <c r="S31" s="29"/>
      <c r="T31" s="29"/>
    </row>
    <row r="32" spans="1:20" s="23" customFormat="1" ht="15.75">
      <c r="A32" s="145" t="s">
        <v>154</v>
      </c>
      <c r="B32" s="153" t="s">
        <v>20</v>
      </c>
      <c r="C32" s="252">
        <v>433</v>
      </c>
      <c r="D32" s="33"/>
      <c r="E32" s="33">
        <v>420</v>
      </c>
      <c r="F32" s="33"/>
      <c r="G32" s="252">
        <v>479</v>
      </c>
      <c r="H32" s="252">
        <v>439</v>
      </c>
      <c r="I32" s="33">
        <v>390</v>
      </c>
      <c r="J32" s="252">
        <v>441</v>
      </c>
      <c r="K32" s="33"/>
      <c r="L32" s="33"/>
      <c r="M32" s="69">
        <f t="shared" si="3"/>
        <v>2602</v>
      </c>
      <c r="N32" s="19">
        <v>6</v>
      </c>
      <c r="O32" s="19">
        <v>2</v>
      </c>
      <c r="P32" s="19">
        <v>89</v>
      </c>
      <c r="Q32" s="19">
        <v>2</v>
      </c>
      <c r="R32" s="22">
        <v>1</v>
      </c>
      <c r="S32" s="22"/>
      <c r="T32" s="22"/>
    </row>
    <row r="33" spans="1:20" s="30" customFormat="1" ht="15.75">
      <c r="A33" s="110" t="s">
        <v>155</v>
      </c>
      <c r="B33" s="123" t="s">
        <v>22</v>
      </c>
      <c r="C33" s="277">
        <v>426</v>
      </c>
      <c r="D33" s="31">
        <v>403</v>
      </c>
      <c r="E33" s="31">
        <v>414</v>
      </c>
      <c r="F33" s="31"/>
      <c r="G33" s="277">
        <v>448</v>
      </c>
      <c r="H33" s="31"/>
      <c r="I33" s="277">
        <v>449</v>
      </c>
      <c r="J33" s="31"/>
      <c r="K33" s="31">
        <v>412</v>
      </c>
      <c r="L33" s="31"/>
      <c r="M33" s="234">
        <f t="shared" si="3"/>
        <v>2552</v>
      </c>
      <c r="N33" s="26">
        <v>5</v>
      </c>
      <c r="O33" s="26">
        <v>3</v>
      </c>
      <c r="P33" s="26">
        <v>92</v>
      </c>
      <c r="Q33" s="26">
        <v>2</v>
      </c>
      <c r="R33" s="29">
        <v>1</v>
      </c>
      <c r="S33" s="29"/>
      <c r="T33" s="29"/>
    </row>
    <row r="34" spans="1:20" s="104" customFormat="1" ht="15.75">
      <c r="A34" s="19" t="s">
        <v>156</v>
      </c>
      <c r="B34" s="137" t="s">
        <v>196</v>
      </c>
      <c r="C34" s="323">
        <v>221</v>
      </c>
      <c r="D34" s="323">
        <v>446</v>
      </c>
      <c r="E34" s="323">
        <v>494</v>
      </c>
      <c r="F34" s="101"/>
      <c r="G34" s="323">
        <v>227</v>
      </c>
      <c r="H34" s="323">
        <v>456</v>
      </c>
      <c r="I34" s="101">
        <v>378</v>
      </c>
      <c r="J34" s="101"/>
      <c r="K34" s="101">
        <v>406</v>
      </c>
      <c r="L34" s="101"/>
      <c r="M34" s="102">
        <f t="shared" si="3"/>
        <v>2628</v>
      </c>
      <c r="N34" s="100">
        <v>6</v>
      </c>
      <c r="O34" s="100">
        <v>2</v>
      </c>
      <c r="P34" s="100">
        <f>M34-2432</f>
        <v>196</v>
      </c>
      <c r="Q34" s="100">
        <v>2</v>
      </c>
      <c r="R34" s="103">
        <v>1</v>
      </c>
      <c r="S34" s="103"/>
      <c r="T34" s="103"/>
    </row>
    <row r="35" spans="1:20" s="30" customFormat="1" ht="15.75">
      <c r="A35" s="110" t="s">
        <v>157</v>
      </c>
      <c r="B35" s="123" t="s">
        <v>19</v>
      </c>
      <c r="C35" s="43">
        <v>426</v>
      </c>
      <c r="D35" s="243">
        <v>447</v>
      </c>
      <c r="E35" s="31">
        <v>433</v>
      </c>
      <c r="F35" s="31"/>
      <c r="G35" s="277">
        <v>436</v>
      </c>
      <c r="H35" s="31"/>
      <c r="I35" s="277">
        <v>446</v>
      </c>
      <c r="J35" s="277">
        <v>452</v>
      </c>
      <c r="K35" s="31"/>
      <c r="L35" s="31"/>
      <c r="M35" s="234">
        <f t="shared" si="3"/>
        <v>2640</v>
      </c>
      <c r="N35" s="26">
        <v>6</v>
      </c>
      <c r="O35" s="26">
        <v>2</v>
      </c>
      <c r="P35" s="26">
        <f>M35-2576</f>
        <v>64</v>
      </c>
      <c r="Q35" s="26">
        <v>2</v>
      </c>
      <c r="R35" s="29">
        <v>1</v>
      </c>
      <c r="S35" s="29"/>
      <c r="T35" s="29"/>
    </row>
    <row r="36" spans="1:20" s="23" customFormat="1" ht="15.75">
      <c r="A36" s="100" t="s">
        <v>158</v>
      </c>
      <c r="B36" s="121" t="s">
        <v>264</v>
      </c>
      <c r="C36" s="244">
        <v>433</v>
      </c>
      <c r="D36" s="42">
        <v>433</v>
      </c>
      <c r="E36" s="33">
        <v>426</v>
      </c>
      <c r="F36" s="33"/>
      <c r="G36" s="252">
        <v>446</v>
      </c>
      <c r="H36" s="33"/>
      <c r="I36" s="33">
        <v>405</v>
      </c>
      <c r="J36" s="33">
        <v>431</v>
      </c>
      <c r="K36" s="33"/>
      <c r="L36" s="33"/>
      <c r="M36" s="69">
        <f t="shared" si="3"/>
        <v>2574</v>
      </c>
      <c r="N36" s="19">
        <v>2</v>
      </c>
      <c r="O36" s="19">
        <v>6</v>
      </c>
      <c r="P36" s="19">
        <f>M36-2666</f>
        <v>-92</v>
      </c>
      <c r="Q36" s="19">
        <v>0</v>
      </c>
      <c r="R36" s="22"/>
      <c r="S36" s="22"/>
      <c r="T36" s="22">
        <v>1</v>
      </c>
    </row>
    <row r="37" spans="1:20" s="30" customFormat="1" ht="15.75">
      <c r="A37" s="110" t="s">
        <v>159</v>
      </c>
      <c r="B37" s="123" t="s">
        <v>17</v>
      </c>
      <c r="C37" s="31"/>
      <c r="D37" s="277">
        <v>469</v>
      </c>
      <c r="E37" s="277">
        <v>438</v>
      </c>
      <c r="F37" s="31"/>
      <c r="G37" s="277">
        <v>434</v>
      </c>
      <c r="H37" s="31">
        <v>420</v>
      </c>
      <c r="I37" s="31"/>
      <c r="J37" s="277">
        <v>443</v>
      </c>
      <c r="K37" s="31">
        <v>387</v>
      </c>
      <c r="L37" s="31"/>
      <c r="M37" s="234">
        <f t="shared" si="3"/>
        <v>2591</v>
      </c>
      <c r="N37" s="26">
        <v>6</v>
      </c>
      <c r="O37" s="26">
        <v>2</v>
      </c>
      <c r="P37" s="26">
        <v>92</v>
      </c>
      <c r="Q37" s="26">
        <v>2</v>
      </c>
      <c r="R37" s="29">
        <v>1</v>
      </c>
      <c r="S37" s="29"/>
      <c r="T37" s="29"/>
    </row>
    <row r="38" spans="1:20" s="104" customFormat="1" ht="15.75">
      <c r="A38" s="19" t="s">
        <v>160</v>
      </c>
      <c r="B38" s="137" t="s">
        <v>15</v>
      </c>
      <c r="C38" s="323">
        <v>449</v>
      </c>
      <c r="D38" s="323">
        <v>454</v>
      </c>
      <c r="E38" s="323">
        <v>485</v>
      </c>
      <c r="F38" s="101"/>
      <c r="G38" s="101">
        <v>436</v>
      </c>
      <c r="H38" s="323">
        <v>450</v>
      </c>
      <c r="I38" s="101"/>
      <c r="J38" s="323">
        <v>460</v>
      </c>
      <c r="K38" s="101"/>
      <c r="L38" s="101"/>
      <c r="M38" s="102">
        <f t="shared" si="3"/>
        <v>2734</v>
      </c>
      <c r="N38" s="100">
        <v>7</v>
      </c>
      <c r="O38" s="100">
        <v>1</v>
      </c>
      <c r="P38" s="100">
        <f>M38-2541</f>
        <v>193</v>
      </c>
      <c r="Q38" s="100">
        <v>2</v>
      </c>
      <c r="R38" s="103">
        <v>1</v>
      </c>
      <c r="S38" s="103"/>
      <c r="T38" s="103"/>
    </row>
    <row r="39" spans="1:20" s="30" customFormat="1" ht="15.75">
      <c r="A39" s="110" t="s">
        <v>161</v>
      </c>
      <c r="B39" s="123" t="s">
        <v>263</v>
      </c>
      <c r="C39" s="277">
        <v>470</v>
      </c>
      <c r="D39" s="31">
        <v>419</v>
      </c>
      <c r="E39" s="31">
        <v>206</v>
      </c>
      <c r="F39" s="31"/>
      <c r="G39" s="277">
        <v>427</v>
      </c>
      <c r="H39" s="277">
        <v>425</v>
      </c>
      <c r="I39" s="31"/>
      <c r="J39" s="277">
        <v>440</v>
      </c>
      <c r="K39" s="31">
        <v>213</v>
      </c>
      <c r="L39" s="31"/>
      <c r="M39" s="234">
        <f t="shared" si="3"/>
        <v>2600</v>
      </c>
      <c r="N39" s="26">
        <v>6</v>
      </c>
      <c r="O39" s="26">
        <v>2</v>
      </c>
      <c r="P39" s="26">
        <v>116</v>
      </c>
      <c r="Q39" s="26">
        <v>2</v>
      </c>
      <c r="R39" s="29">
        <v>1</v>
      </c>
      <c r="S39" s="29"/>
      <c r="T39" s="29"/>
    </row>
    <row r="40" spans="1:20" s="104" customFormat="1" ht="15.75">
      <c r="A40" s="100" t="s">
        <v>162</v>
      </c>
      <c r="B40" s="100" t="s">
        <v>23</v>
      </c>
      <c r="C40" s="323">
        <v>459</v>
      </c>
      <c r="D40" s="323">
        <v>457</v>
      </c>
      <c r="E40" s="323">
        <v>454</v>
      </c>
      <c r="F40" s="101"/>
      <c r="G40" s="101">
        <v>422</v>
      </c>
      <c r="H40" s="101"/>
      <c r="I40" s="101"/>
      <c r="J40" s="323">
        <v>451</v>
      </c>
      <c r="K40" s="323">
        <v>424</v>
      </c>
      <c r="L40" s="101"/>
      <c r="M40" s="102">
        <f t="shared" si="3"/>
        <v>2667</v>
      </c>
      <c r="N40" s="100">
        <v>7</v>
      </c>
      <c r="O40" s="100">
        <v>1</v>
      </c>
      <c r="P40" s="100">
        <v>169</v>
      </c>
      <c r="Q40" s="100">
        <v>2</v>
      </c>
      <c r="R40" s="103">
        <v>1</v>
      </c>
      <c r="S40" s="103"/>
      <c r="T40" s="103"/>
    </row>
    <row r="41" spans="1:20" s="30" customFormat="1" ht="15.75">
      <c r="A41" s="26" t="s">
        <v>163</v>
      </c>
      <c r="B41" s="27" t="s">
        <v>260</v>
      </c>
      <c r="C41" s="277">
        <v>427</v>
      </c>
      <c r="D41" s="31">
        <v>420</v>
      </c>
      <c r="E41" s="31">
        <v>410</v>
      </c>
      <c r="F41" s="31"/>
      <c r="G41" s="277">
        <v>428</v>
      </c>
      <c r="H41" s="31"/>
      <c r="I41" s="31"/>
      <c r="J41" s="277">
        <v>442</v>
      </c>
      <c r="K41" s="31">
        <v>426</v>
      </c>
      <c r="L41" s="31"/>
      <c r="M41" s="234">
        <f t="shared" si="3"/>
        <v>2553</v>
      </c>
      <c r="N41" s="26">
        <v>3</v>
      </c>
      <c r="O41" s="26">
        <v>5</v>
      </c>
      <c r="P41" s="26">
        <f>M41-2581</f>
        <v>-28</v>
      </c>
      <c r="Q41" s="26">
        <v>0</v>
      </c>
      <c r="R41" s="29"/>
      <c r="S41" s="29"/>
      <c r="T41" s="29">
        <v>1</v>
      </c>
    </row>
    <row r="42" spans="1:20" s="23" customFormat="1" ht="15.75">
      <c r="A42" s="19" t="s">
        <v>164</v>
      </c>
      <c r="B42" s="19" t="s">
        <v>209</v>
      </c>
      <c r="C42" s="33"/>
      <c r="D42" s="252">
        <v>419</v>
      </c>
      <c r="E42" s="33"/>
      <c r="F42" s="33"/>
      <c r="G42" s="252">
        <v>425</v>
      </c>
      <c r="H42" s="252">
        <v>428</v>
      </c>
      <c r="I42" s="33">
        <v>409</v>
      </c>
      <c r="J42" s="252">
        <v>456</v>
      </c>
      <c r="K42" s="33">
        <v>416</v>
      </c>
      <c r="L42" s="33"/>
      <c r="M42" s="69">
        <f t="shared" si="3"/>
        <v>2553</v>
      </c>
      <c r="N42" s="19">
        <v>6</v>
      </c>
      <c r="O42" s="19">
        <v>2</v>
      </c>
      <c r="P42" s="19">
        <f>M42-2431</f>
        <v>122</v>
      </c>
      <c r="Q42" s="19">
        <v>2</v>
      </c>
      <c r="R42" s="22">
        <v>1</v>
      </c>
      <c r="S42" s="22"/>
      <c r="T42" s="22"/>
    </row>
    <row r="43" spans="1:20" s="114" customFormat="1" ht="15.75">
      <c r="A43" s="110" t="s">
        <v>165</v>
      </c>
      <c r="B43" s="110" t="s">
        <v>207</v>
      </c>
      <c r="C43" s="111">
        <v>427</v>
      </c>
      <c r="D43" s="111">
        <v>431</v>
      </c>
      <c r="E43" s="256">
        <v>452</v>
      </c>
      <c r="F43" s="111"/>
      <c r="G43" s="256">
        <v>457</v>
      </c>
      <c r="H43" s="111"/>
      <c r="I43" s="256">
        <v>456</v>
      </c>
      <c r="J43" s="256">
        <v>453</v>
      </c>
      <c r="K43" s="111"/>
      <c r="L43" s="111"/>
      <c r="M43" s="112">
        <f t="shared" si="3"/>
        <v>2676</v>
      </c>
      <c r="N43" s="110">
        <v>4</v>
      </c>
      <c r="O43" s="110">
        <v>4</v>
      </c>
      <c r="P43" s="110">
        <v>-20</v>
      </c>
      <c r="Q43" s="110">
        <v>1</v>
      </c>
      <c r="R43" s="113"/>
      <c r="S43" s="113">
        <v>1</v>
      </c>
      <c r="T43" s="113"/>
    </row>
    <row r="44" spans="1:20" s="104" customFormat="1" ht="15.75">
      <c r="A44" s="145" t="s">
        <v>265</v>
      </c>
      <c r="B44" s="153" t="s">
        <v>205</v>
      </c>
      <c r="C44" s="33"/>
      <c r="D44" s="252">
        <v>424</v>
      </c>
      <c r="E44" s="33">
        <v>418</v>
      </c>
      <c r="F44" s="33"/>
      <c r="G44" s="252">
        <v>435</v>
      </c>
      <c r="H44" s="33"/>
      <c r="I44" s="252">
        <v>451</v>
      </c>
      <c r="J44" s="252">
        <v>472</v>
      </c>
      <c r="K44" s="292">
        <v>408</v>
      </c>
      <c r="L44" s="101"/>
      <c r="M44" s="102">
        <f t="shared" si="3"/>
        <v>2608</v>
      </c>
      <c r="N44" s="100">
        <v>6</v>
      </c>
      <c r="O44" s="100">
        <v>2</v>
      </c>
      <c r="P44" s="100">
        <v>61</v>
      </c>
      <c r="Q44" s="100">
        <v>2</v>
      </c>
      <c r="R44" s="103">
        <v>1</v>
      </c>
      <c r="S44" s="103"/>
      <c r="T44" s="103"/>
    </row>
    <row r="45" spans="1:20" s="30" customFormat="1" ht="15.75">
      <c r="A45" s="26" t="s">
        <v>266</v>
      </c>
      <c r="B45" s="57" t="s">
        <v>21</v>
      </c>
      <c r="C45" s="111"/>
      <c r="D45" s="256">
        <v>455</v>
      </c>
      <c r="E45" s="256">
        <v>449</v>
      </c>
      <c r="F45" s="111">
        <v>403</v>
      </c>
      <c r="G45" s="111"/>
      <c r="H45" s="111"/>
      <c r="I45" s="256">
        <v>447</v>
      </c>
      <c r="J45" s="346">
        <v>470</v>
      </c>
      <c r="K45" s="149">
        <v>378</v>
      </c>
      <c r="L45" s="31"/>
      <c r="M45" s="234">
        <f t="shared" si="3"/>
        <v>2602</v>
      </c>
      <c r="N45" s="26">
        <v>6</v>
      </c>
      <c r="O45" s="26">
        <v>2</v>
      </c>
      <c r="P45" s="26">
        <v>119</v>
      </c>
      <c r="Q45" s="26">
        <v>2</v>
      </c>
      <c r="R45" s="29">
        <v>1</v>
      </c>
      <c r="S45" s="29"/>
      <c r="T45" s="29"/>
    </row>
    <row r="46" spans="1:20" s="299" customFormat="1" ht="15.75">
      <c r="A46" s="293" t="s">
        <v>303</v>
      </c>
      <c r="B46" s="294" t="s">
        <v>255</v>
      </c>
      <c r="C46" s="295"/>
      <c r="D46" s="295"/>
      <c r="E46" s="295"/>
      <c r="F46" s="295"/>
      <c r="G46" s="295"/>
      <c r="H46" s="295"/>
      <c r="I46" s="295"/>
      <c r="J46" s="295"/>
      <c r="K46" s="296"/>
      <c r="L46" s="295"/>
      <c r="M46" s="297">
        <f t="shared" si="3"/>
        <v>0</v>
      </c>
      <c r="N46" s="293"/>
      <c r="O46" s="293"/>
      <c r="P46" s="293"/>
      <c r="Q46" s="293"/>
      <c r="R46" s="298"/>
      <c r="S46" s="298"/>
      <c r="T46" s="298"/>
    </row>
    <row r="47" spans="1:20" s="23" customFormat="1" ht="16.5" thickBot="1">
      <c r="A47" s="145" t="s">
        <v>304</v>
      </c>
      <c r="B47" s="153" t="s">
        <v>208</v>
      </c>
      <c r="C47" s="362">
        <v>422</v>
      </c>
      <c r="D47" s="362">
        <v>433</v>
      </c>
      <c r="E47" s="362">
        <v>469</v>
      </c>
      <c r="F47" s="235"/>
      <c r="G47" s="235"/>
      <c r="H47" s="235"/>
      <c r="I47" s="235">
        <v>411</v>
      </c>
      <c r="J47" s="362">
        <v>462</v>
      </c>
      <c r="K47" s="362">
        <v>418</v>
      </c>
      <c r="L47" s="235"/>
      <c r="M47" s="236">
        <f t="shared" si="3"/>
        <v>2615</v>
      </c>
      <c r="N47" s="25">
        <v>7</v>
      </c>
      <c r="O47" s="25">
        <v>1</v>
      </c>
      <c r="P47" s="25">
        <f>M47-2452</f>
        <v>163</v>
      </c>
      <c r="Q47" s="25">
        <v>2</v>
      </c>
      <c r="R47" s="76">
        <v>1</v>
      </c>
      <c r="S47" s="76"/>
      <c r="T47" s="76"/>
    </row>
    <row r="48" spans="3:20" ht="16.5" thickTop="1">
      <c r="C48" s="7">
        <f>SUM(C31:C33)+SUM(C35:C47)</f>
        <v>4791</v>
      </c>
      <c r="D48" s="7">
        <f aca="true" t="shared" si="4" ref="D48:L48">SUM(D31:D47)</f>
        <v>6496</v>
      </c>
      <c r="E48" s="7">
        <f>SUM(E31:E38)+SUM(E40:E47)</f>
        <v>6229</v>
      </c>
      <c r="F48" s="7">
        <f t="shared" si="4"/>
        <v>403</v>
      </c>
      <c r="G48" s="7">
        <f>SUM(G31:G33)+SUM(G35:G47)</f>
        <v>5719</v>
      </c>
      <c r="H48" s="7">
        <f t="shared" si="4"/>
        <v>2618</v>
      </c>
      <c r="I48" s="7">
        <f t="shared" si="4"/>
        <v>4656</v>
      </c>
      <c r="J48" s="7">
        <f t="shared" si="4"/>
        <v>6315</v>
      </c>
      <c r="K48" s="7">
        <f>SUM(K31:K38)+SUM(K40:K47)</f>
        <v>3675</v>
      </c>
      <c r="L48" s="7">
        <f t="shared" si="4"/>
        <v>0</v>
      </c>
      <c r="N48" s="1">
        <f>SUM(N31:N47)</f>
        <v>89</v>
      </c>
      <c r="O48" s="1">
        <f>SUM(O31:O47)</f>
        <v>39</v>
      </c>
      <c r="P48" s="1">
        <f>SUM(P31:P47)</f>
        <v>1516</v>
      </c>
      <c r="Q48" s="1">
        <f>SUM(Q31:Q47)</f>
        <v>27</v>
      </c>
      <c r="R48" s="2">
        <f>SUM(R31:R47)+R23</f>
        <v>24</v>
      </c>
      <c r="S48" s="2">
        <f>SUM(S31:S47)+S23</f>
        <v>3</v>
      </c>
      <c r="T48" s="2">
        <f>SUM(T31:T47)+T23</f>
        <v>5</v>
      </c>
    </row>
    <row r="49" spans="2:12" ht="15.75">
      <c r="B49" s="67" t="s">
        <v>250</v>
      </c>
      <c r="C49" s="7">
        <f>COUNT(C31:C33)+COUNT(C35:C47)</f>
        <v>11</v>
      </c>
      <c r="D49" s="1">
        <f>COUNT(D31:D47)</f>
        <v>15</v>
      </c>
      <c r="E49" s="7">
        <f>COUNT(E31:E38)+COUNT(E40:E47)</f>
        <v>14</v>
      </c>
      <c r="F49" s="1">
        <f aca="true" t="shared" si="5" ref="F49:L49">COUNT(F31:F47)</f>
        <v>1</v>
      </c>
      <c r="G49" s="7">
        <f>COUNT(G31:G33)+COUNT(G35:G47)</f>
        <v>13</v>
      </c>
      <c r="H49" s="1">
        <f t="shared" si="5"/>
        <v>6</v>
      </c>
      <c r="I49" s="1">
        <f t="shared" si="5"/>
        <v>11</v>
      </c>
      <c r="J49" s="1">
        <f t="shared" si="5"/>
        <v>14</v>
      </c>
      <c r="K49" s="7">
        <f>COUNT(K31:K38)+COUNT(K40:K47)</f>
        <v>9</v>
      </c>
      <c r="L49" s="1">
        <f t="shared" si="5"/>
        <v>0</v>
      </c>
    </row>
    <row r="50" spans="2:20" ht="31.5">
      <c r="B50" s="11" t="s">
        <v>249</v>
      </c>
      <c r="C50" s="16">
        <f>C48/C49</f>
        <v>435.54545454545456</v>
      </c>
      <c r="D50" s="16">
        <f>D48/D49</f>
        <v>433.06666666666666</v>
      </c>
      <c r="E50" s="16">
        <f aca="true" t="shared" si="6" ref="E50:K50">E48/E49</f>
        <v>444.92857142857144</v>
      </c>
      <c r="F50" s="16"/>
      <c r="G50" s="16">
        <f t="shared" si="6"/>
        <v>439.9230769230769</v>
      </c>
      <c r="H50" s="16">
        <f t="shared" si="6"/>
        <v>436.3333333333333</v>
      </c>
      <c r="I50" s="16">
        <f t="shared" si="6"/>
        <v>423.27272727272725</v>
      </c>
      <c r="J50" s="16">
        <f t="shared" si="6"/>
        <v>451.07142857142856</v>
      </c>
      <c r="K50" s="16">
        <f t="shared" si="6"/>
        <v>408.3333333333333</v>
      </c>
      <c r="L50" s="16"/>
      <c r="M50" s="3" t="s">
        <v>30</v>
      </c>
      <c r="N50" s="371" t="s">
        <v>115</v>
      </c>
      <c r="O50" s="371"/>
      <c r="P50" s="3" t="s">
        <v>31</v>
      </c>
      <c r="Q50" s="10" t="s">
        <v>116</v>
      </c>
      <c r="S50" s="13" t="s">
        <v>126</v>
      </c>
      <c r="T50" s="74" t="s">
        <v>223</v>
      </c>
    </row>
    <row r="51" spans="13:20" ht="15.75">
      <c r="M51" s="6">
        <f>SUM(M31:M47)+M26</f>
        <v>83117</v>
      </c>
      <c r="N51" s="6">
        <f>SUM(N31:N47)+N26</f>
        <v>167</v>
      </c>
      <c r="O51" s="6">
        <f>SUM(O31:O47)+O26</f>
        <v>89</v>
      </c>
      <c r="P51" s="6">
        <f>SUM(P31:P47)</f>
        <v>1516</v>
      </c>
      <c r="Q51" s="6">
        <f>SUM(Q31:Q47)+Q26</f>
        <v>51</v>
      </c>
      <c r="S51" s="56">
        <f>N51-O51</f>
        <v>78</v>
      </c>
      <c r="T51" s="2">
        <f>SUM(R48:T48)</f>
        <v>32</v>
      </c>
    </row>
    <row r="53" spans="13:14" ht="15.75">
      <c r="M53" s="1" t="s">
        <v>128</v>
      </c>
      <c r="N53" s="18">
        <f>M51/T51</f>
        <v>2597.40625</v>
      </c>
    </row>
  </sheetData>
  <sheetProtection/>
  <mergeCells count="11">
    <mergeCell ref="N50:O50"/>
    <mergeCell ref="F27:G27"/>
    <mergeCell ref="H27:I27"/>
    <mergeCell ref="C27:D27"/>
    <mergeCell ref="N4:O4"/>
    <mergeCell ref="K1:L1"/>
    <mergeCell ref="C4:L4"/>
    <mergeCell ref="E1:F1"/>
    <mergeCell ref="H1:I1"/>
    <mergeCell ref="K2:L2"/>
    <mergeCell ref="N25:O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V53"/>
  <sheetViews>
    <sheetView zoomScale="90" zoomScaleNormal="90" zoomScalePageLayoutView="0" workbookViewId="0" topLeftCell="C25">
      <selection activeCell="Q48" sqref="Q48"/>
    </sheetView>
  </sheetViews>
  <sheetFormatPr defaultColWidth="9.00390625" defaultRowHeight="12.75"/>
  <cols>
    <col min="1" max="1" width="11.25390625" style="1" bestFit="1" customWidth="1"/>
    <col min="2" max="2" width="19.375" style="1" bestFit="1" customWidth="1"/>
    <col min="3" max="3" width="11.625" style="1" customWidth="1"/>
    <col min="4" max="4" width="10.75390625" style="1" customWidth="1"/>
    <col min="5" max="5" width="9.25390625" style="1" bestFit="1" customWidth="1"/>
    <col min="6" max="6" width="11.75390625" style="1" customWidth="1"/>
    <col min="7" max="7" width="10.875" style="1" customWidth="1"/>
    <col min="8" max="8" width="10.375" style="1" customWidth="1"/>
    <col min="9" max="9" width="9.75390625" style="1" customWidth="1"/>
    <col min="10" max="10" width="11.00390625" style="1" customWidth="1"/>
    <col min="11" max="11" width="11.875" style="1" customWidth="1"/>
    <col min="12" max="12" width="8.875" style="1" customWidth="1"/>
    <col min="13" max="13" width="11.00390625" style="1" customWidth="1"/>
    <col min="14" max="14" width="17.125" style="1" customWidth="1"/>
    <col min="15" max="15" width="11.25390625" style="1" customWidth="1"/>
    <col min="16" max="16" width="10.375" style="1" customWidth="1"/>
    <col min="17" max="17" width="13.375" style="1" customWidth="1"/>
    <col min="18" max="18" width="12.375" style="1" customWidth="1"/>
    <col min="19" max="19" width="11.00390625" style="0" customWidth="1"/>
    <col min="20" max="20" width="14.125" style="0" customWidth="1"/>
    <col min="21" max="21" width="12.875" style="0" customWidth="1"/>
  </cols>
  <sheetData>
    <row r="1" spans="1:15" ht="15.75">
      <c r="A1" s="58" t="s">
        <v>141</v>
      </c>
      <c r="B1" s="59"/>
      <c r="C1" s="59" t="s">
        <v>147</v>
      </c>
      <c r="D1" s="59" t="s">
        <v>139</v>
      </c>
      <c r="E1" s="59"/>
      <c r="F1" s="372" t="s">
        <v>143</v>
      </c>
      <c r="G1" s="372"/>
      <c r="I1" s="368" t="s">
        <v>151</v>
      </c>
      <c r="J1" s="368"/>
      <c r="K1" s="11" t="s">
        <v>152</v>
      </c>
      <c r="L1" s="368" t="s">
        <v>126</v>
      </c>
      <c r="M1" s="368"/>
      <c r="N1" s="1" t="s">
        <v>128</v>
      </c>
      <c r="O1" s="18">
        <f>N26/T26</f>
        <v>2599.1875</v>
      </c>
    </row>
    <row r="2" spans="9:15" ht="15.75">
      <c r="I2" s="1">
        <f>O26+O48</f>
        <v>179</v>
      </c>
      <c r="J2" s="1">
        <f>P26+P48</f>
        <v>77</v>
      </c>
      <c r="K2" s="46">
        <f>R26+R48</f>
        <v>51</v>
      </c>
      <c r="L2" s="374">
        <f>I2-J2</f>
        <v>102</v>
      </c>
      <c r="M2" s="374"/>
      <c r="N2" s="1" t="s">
        <v>234</v>
      </c>
      <c r="O2" s="6">
        <f>N7+N9+N11+N13+N15+N17+N19+N21</f>
        <v>20568</v>
      </c>
    </row>
    <row r="4" spans="3:21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"/>
      <c r="M4" s="3"/>
      <c r="O4" s="371" t="s">
        <v>28</v>
      </c>
      <c r="P4" s="371"/>
      <c r="S4" s="2"/>
      <c r="T4" s="2"/>
      <c r="U4" s="2"/>
    </row>
    <row r="5" spans="2:21" ht="32.25" thickBot="1">
      <c r="B5" s="3" t="s">
        <v>25</v>
      </c>
      <c r="C5" s="8" t="s">
        <v>104</v>
      </c>
      <c r="D5" s="8" t="s">
        <v>106</v>
      </c>
      <c r="E5" s="8" t="s">
        <v>256</v>
      </c>
      <c r="F5" s="8" t="s">
        <v>107</v>
      </c>
      <c r="G5" s="8" t="s">
        <v>108</v>
      </c>
      <c r="H5" s="8" t="s">
        <v>105</v>
      </c>
      <c r="I5" s="8" t="s">
        <v>109</v>
      </c>
      <c r="J5" s="8" t="s">
        <v>135</v>
      </c>
      <c r="K5" s="8" t="s">
        <v>181</v>
      </c>
      <c r="L5" s="302" t="s">
        <v>220</v>
      </c>
      <c r="M5" s="8" t="s">
        <v>269</v>
      </c>
      <c r="N5" s="3" t="s">
        <v>30</v>
      </c>
      <c r="O5" s="3" t="s">
        <v>16</v>
      </c>
      <c r="P5" s="3" t="s">
        <v>29</v>
      </c>
      <c r="Q5" s="3" t="s">
        <v>31</v>
      </c>
      <c r="R5" s="10" t="s">
        <v>114</v>
      </c>
      <c r="S5" s="2" t="s">
        <v>184</v>
      </c>
      <c r="T5" s="2" t="s">
        <v>185</v>
      </c>
      <c r="U5" s="2" t="s">
        <v>186</v>
      </c>
    </row>
    <row r="6" spans="1:21" s="104" customFormat="1" ht="15.75">
      <c r="A6" s="19" t="s">
        <v>0</v>
      </c>
      <c r="B6" s="137" t="s">
        <v>255</v>
      </c>
      <c r="C6" s="202"/>
      <c r="D6" s="203"/>
      <c r="E6" s="203"/>
      <c r="F6" s="203"/>
      <c r="G6" s="203"/>
      <c r="H6" s="203"/>
      <c r="I6" s="203"/>
      <c r="J6" s="203"/>
      <c r="K6" s="203"/>
      <c r="L6" s="203"/>
      <c r="M6" s="204"/>
      <c r="N6" s="154" t="s">
        <v>255</v>
      </c>
      <c r="O6" s="183"/>
      <c r="P6" s="183"/>
      <c r="Q6" s="184"/>
      <c r="R6" s="183"/>
      <c r="S6" s="185"/>
      <c r="T6" s="185"/>
      <c r="U6" s="185"/>
    </row>
    <row r="7" spans="1:21" s="114" customFormat="1" ht="15.75">
      <c r="A7" s="26" t="s">
        <v>1</v>
      </c>
      <c r="B7" s="57" t="s">
        <v>205</v>
      </c>
      <c r="C7" s="57"/>
      <c r="D7" s="243">
        <v>428</v>
      </c>
      <c r="E7" s="43"/>
      <c r="F7" s="243">
        <v>453</v>
      </c>
      <c r="G7" s="43"/>
      <c r="H7" s="243">
        <v>446</v>
      </c>
      <c r="I7" s="43"/>
      <c r="J7" s="43">
        <v>427</v>
      </c>
      <c r="K7" s="47"/>
      <c r="L7" s="47">
        <v>397</v>
      </c>
      <c r="M7" s="250">
        <v>453</v>
      </c>
      <c r="N7" s="109">
        <f aca="true" t="shared" si="0" ref="N7:N12">SUM(C7:M7)</f>
        <v>2604</v>
      </c>
      <c r="O7" s="110">
        <v>6</v>
      </c>
      <c r="P7" s="110">
        <v>2</v>
      </c>
      <c r="Q7" s="109">
        <f>N7-2497</f>
        <v>107</v>
      </c>
      <c r="R7" s="110">
        <v>2</v>
      </c>
      <c r="S7" s="113">
        <v>1</v>
      </c>
      <c r="T7" s="113"/>
      <c r="U7" s="113"/>
    </row>
    <row r="8" spans="1:21" s="148" customFormat="1" ht="15.75">
      <c r="A8" s="100" t="s">
        <v>2</v>
      </c>
      <c r="B8" s="121" t="s">
        <v>21</v>
      </c>
      <c r="C8" s="121"/>
      <c r="D8" s="120">
        <v>405</v>
      </c>
      <c r="E8" s="120"/>
      <c r="F8" s="258">
        <v>440</v>
      </c>
      <c r="G8" s="120"/>
      <c r="H8" s="120">
        <v>402</v>
      </c>
      <c r="I8" s="258">
        <v>460</v>
      </c>
      <c r="J8" s="120"/>
      <c r="K8" s="254">
        <v>459</v>
      </c>
      <c r="L8" s="129"/>
      <c r="M8" s="157">
        <v>402</v>
      </c>
      <c r="N8" s="175">
        <f t="shared" si="0"/>
        <v>2568</v>
      </c>
      <c r="O8" s="145">
        <v>5</v>
      </c>
      <c r="P8" s="145">
        <v>3</v>
      </c>
      <c r="Q8" s="145">
        <v>97</v>
      </c>
      <c r="R8" s="145">
        <v>2</v>
      </c>
      <c r="S8" s="176">
        <v>1</v>
      </c>
      <c r="T8" s="176"/>
      <c r="U8" s="176"/>
    </row>
    <row r="9" spans="1:21" s="114" customFormat="1" ht="15.75">
      <c r="A9" s="26" t="s">
        <v>3</v>
      </c>
      <c r="B9" s="57" t="s">
        <v>26</v>
      </c>
      <c r="C9" s="57"/>
      <c r="D9" s="43"/>
      <c r="E9" s="43"/>
      <c r="F9" s="243">
        <v>428</v>
      </c>
      <c r="G9" s="43"/>
      <c r="H9" s="243">
        <v>426</v>
      </c>
      <c r="I9" s="43">
        <v>414</v>
      </c>
      <c r="J9" s="243">
        <v>443</v>
      </c>
      <c r="K9" s="47">
        <v>426</v>
      </c>
      <c r="L9" s="47"/>
      <c r="M9" s="250">
        <v>480</v>
      </c>
      <c r="N9" s="109">
        <f t="shared" si="0"/>
        <v>2617</v>
      </c>
      <c r="O9" s="110">
        <v>6</v>
      </c>
      <c r="P9" s="110">
        <v>2</v>
      </c>
      <c r="Q9" s="110">
        <v>70</v>
      </c>
      <c r="R9" s="110">
        <v>2</v>
      </c>
      <c r="S9" s="113">
        <v>1</v>
      </c>
      <c r="T9" s="113"/>
      <c r="U9" s="113"/>
    </row>
    <row r="10" spans="1:21" s="23" customFormat="1" ht="15.75">
      <c r="A10" s="145" t="s">
        <v>4</v>
      </c>
      <c r="B10" s="153" t="s">
        <v>208</v>
      </c>
      <c r="C10" s="153"/>
      <c r="D10" s="146"/>
      <c r="E10" s="146"/>
      <c r="F10" s="257">
        <v>447</v>
      </c>
      <c r="G10" s="146"/>
      <c r="H10" s="257">
        <v>452</v>
      </c>
      <c r="I10" s="146"/>
      <c r="J10" s="257">
        <v>459</v>
      </c>
      <c r="K10" s="262">
        <v>430</v>
      </c>
      <c r="L10" s="262">
        <v>463</v>
      </c>
      <c r="M10" s="165">
        <v>423</v>
      </c>
      <c r="N10" s="21">
        <f t="shared" si="0"/>
        <v>2674</v>
      </c>
      <c r="O10" s="19">
        <v>7</v>
      </c>
      <c r="P10" s="19">
        <v>1</v>
      </c>
      <c r="Q10" s="19">
        <v>207</v>
      </c>
      <c r="R10" s="19">
        <v>2</v>
      </c>
      <c r="S10" s="22">
        <v>1</v>
      </c>
      <c r="T10" s="22"/>
      <c r="U10" s="22"/>
    </row>
    <row r="11" spans="1:21" s="114" customFormat="1" ht="15.75">
      <c r="A11" s="26" t="s">
        <v>5</v>
      </c>
      <c r="B11" s="57" t="s">
        <v>206</v>
      </c>
      <c r="C11" s="57"/>
      <c r="D11" s="43"/>
      <c r="E11" s="43"/>
      <c r="F11" s="243">
        <v>476</v>
      </c>
      <c r="G11" s="43"/>
      <c r="H11" s="43">
        <v>418</v>
      </c>
      <c r="I11" s="43">
        <v>410</v>
      </c>
      <c r="J11" s="243">
        <v>441</v>
      </c>
      <c r="K11" s="251">
        <v>454</v>
      </c>
      <c r="L11" s="47"/>
      <c r="M11" s="250">
        <v>461</v>
      </c>
      <c r="N11" s="109">
        <f t="shared" si="0"/>
        <v>2660</v>
      </c>
      <c r="O11" s="110">
        <v>6</v>
      </c>
      <c r="P11" s="110">
        <v>2</v>
      </c>
      <c r="Q11" s="110">
        <v>145</v>
      </c>
      <c r="R11" s="110">
        <v>2</v>
      </c>
      <c r="S11" s="113">
        <v>1</v>
      </c>
      <c r="T11" s="113"/>
      <c r="U11" s="113"/>
    </row>
    <row r="12" spans="1:21" s="104" customFormat="1" ht="15.75">
      <c r="A12" s="19" t="s">
        <v>6</v>
      </c>
      <c r="B12" s="137" t="s">
        <v>20</v>
      </c>
      <c r="C12" s="137"/>
      <c r="D12" s="244">
        <v>464</v>
      </c>
      <c r="E12" s="42"/>
      <c r="F12" s="244">
        <v>452</v>
      </c>
      <c r="G12" s="42"/>
      <c r="H12" s="42">
        <v>416</v>
      </c>
      <c r="I12" s="42"/>
      <c r="J12" s="42">
        <v>422</v>
      </c>
      <c r="K12" s="249">
        <v>430</v>
      </c>
      <c r="L12" s="44"/>
      <c r="M12" s="267">
        <v>453</v>
      </c>
      <c r="N12" s="154">
        <f t="shared" si="0"/>
        <v>2637</v>
      </c>
      <c r="O12" s="100">
        <v>6</v>
      </c>
      <c r="P12" s="100">
        <v>2</v>
      </c>
      <c r="Q12" s="100">
        <v>145</v>
      </c>
      <c r="R12" s="100">
        <v>2</v>
      </c>
      <c r="S12" s="103">
        <v>1</v>
      </c>
      <c r="T12" s="103"/>
      <c r="U12" s="103"/>
    </row>
    <row r="13" spans="1:21" s="114" customFormat="1" ht="15.75">
      <c r="A13" s="26" t="s">
        <v>7</v>
      </c>
      <c r="B13" s="57" t="s">
        <v>22</v>
      </c>
      <c r="C13" s="57"/>
      <c r="D13" s="243">
        <v>430</v>
      </c>
      <c r="E13" s="43"/>
      <c r="F13" s="43"/>
      <c r="G13" s="43"/>
      <c r="H13" s="43">
        <v>402</v>
      </c>
      <c r="I13" s="243">
        <v>424</v>
      </c>
      <c r="J13" s="43"/>
      <c r="K13" s="251">
        <v>441</v>
      </c>
      <c r="L13" s="251">
        <v>419</v>
      </c>
      <c r="M13" s="250">
        <v>427</v>
      </c>
      <c r="N13" s="109">
        <f aca="true" t="shared" si="1" ref="N13:N22">SUM(C13:M13)</f>
        <v>2543</v>
      </c>
      <c r="O13" s="110">
        <v>7</v>
      </c>
      <c r="P13" s="110">
        <v>1</v>
      </c>
      <c r="Q13" s="110">
        <v>250</v>
      </c>
      <c r="R13" s="110">
        <v>2</v>
      </c>
      <c r="S13" s="113">
        <v>1</v>
      </c>
      <c r="T13" s="113"/>
      <c r="U13" s="113"/>
    </row>
    <row r="14" spans="1:21" s="148" customFormat="1" ht="15.75">
      <c r="A14" s="100" t="s">
        <v>8</v>
      </c>
      <c r="B14" s="121" t="s">
        <v>196</v>
      </c>
      <c r="C14" s="121"/>
      <c r="D14" s="120"/>
      <c r="E14" s="120"/>
      <c r="F14" s="258">
        <v>436</v>
      </c>
      <c r="G14" s="120"/>
      <c r="H14" s="120">
        <v>415</v>
      </c>
      <c r="I14" s="258">
        <v>437</v>
      </c>
      <c r="J14" s="258">
        <v>469</v>
      </c>
      <c r="K14" s="254">
        <v>443</v>
      </c>
      <c r="L14" s="129"/>
      <c r="M14" s="260">
        <v>446</v>
      </c>
      <c r="N14" s="175">
        <f t="shared" si="1"/>
        <v>2646</v>
      </c>
      <c r="O14" s="145">
        <v>7</v>
      </c>
      <c r="P14" s="145">
        <v>1</v>
      </c>
      <c r="Q14" s="175">
        <v>194</v>
      </c>
      <c r="R14" s="145">
        <v>2</v>
      </c>
      <c r="S14" s="176">
        <v>1</v>
      </c>
      <c r="T14" s="176"/>
      <c r="U14" s="176"/>
    </row>
    <row r="15" spans="1:21" s="114" customFormat="1" ht="15.75">
      <c r="A15" s="26" t="s">
        <v>9</v>
      </c>
      <c r="B15" s="57" t="s">
        <v>19</v>
      </c>
      <c r="C15" s="57"/>
      <c r="D15" s="43">
        <v>422</v>
      </c>
      <c r="E15" s="43"/>
      <c r="F15" s="243">
        <v>431</v>
      </c>
      <c r="G15" s="43"/>
      <c r="H15" s="43">
        <v>419</v>
      </c>
      <c r="I15" s="43"/>
      <c r="J15" s="243">
        <v>436</v>
      </c>
      <c r="K15" s="251">
        <v>432</v>
      </c>
      <c r="L15" s="47"/>
      <c r="M15" s="250">
        <v>439</v>
      </c>
      <c r="N15" s="109">
        <f t="shared" si="1"/>
        <v>2579</v>
      </c>
      <c r="O15" s="110">
        <v>6</v>
      </c>
      <c r="P15" s="110">
        <v>2</v>
      </c>
      <c r="Q15" s="109">
        <v>50</v>
      </c>
      <c r="R15" s="110">
        <v>2</v>
      </c>
      <c r="S15" s="113">
        <v>1</v>
      </c>
      <c r="T15" s="113"/>
      <c r="U15" s="113"/>
    </row>
    <row r="16" spans="1:21" s="23" customFormat="1" ht="15.75">
      <c r="A16" s="145" t="s">
        <v>10</v>
      </c>
      <c r="B16" s="153" t="s">
        <v>24</v>
      </c>
      <c r="C16" s="153"/>
      <c r="D16" s="146"/>
      <c r="E16" s="146">
        <v>427</v>
      </c>
      <c r="F16" s="257">
        <v>449</v>
      </c>
      <c r="G16" s="146"/>
      <c r="H16" s="146"/>
      <c r="I16" s="257">
        <v>440</v>
      </c>
      <c r="J16" s="146">
        <v>423</v>
      </c>
      <c r="K16" s="160">
        <v>396</v>
      </c>
      <c r="L16" s="160"/>
      <c r="M16" s="269">
        <v>466</v>
      </c>
      <c r="N16" s="21">
        <f t="shared" si="1"/>
        <v>2601</v>
      </c>
      <c r="O16" s="19">
        <v>3</v>
      </c>
      <c r="P16" s="19">
        <v>5</v>
      </c>
      <c r="Q16" s="21">
        <v>-110</v>
      </c>
      <c r="R16" s="19">
        <v>0</v>
      </c>
      <c r="S16" s="22"/>
      <c r="T16" s="22"/>
      <c r="U16" s="22">
        <v>1</v>
      </c>
    </row>
    <row r="17" spans="1:21" s="114" customFormat="1" ht="15.75">
      <c r="A17" s="26" t="s">
        <v>11</v>
      </c>
      <c r="B17" s="57" t="s">
        <v>17</v>
      </c>
      <c r="C17" s="57"/>
      <c r="D17" s="243">
        <v>422</v>
      </c>
      <c r="E17" s="43"/>
      <c r="F17" s="243">
        <v>423</v>
      </c>
      <c r="G17" s="43"/>
      <c r="H17" s="43">
        <v>401</v>
      </c>
      <c r="I17" s="43">
        <v>402</v>
      </c>
      <c r="J17" s="43"/>
      <c r="K17" s="47"/>
      <c r="L17" s="47">
        <v>404</v>
      </c>
      <c r="M17" s="250">
        <v>416</v>
      </c>
      <c r="N17" s="109">
        <f t="shared" si="1"/>
        <v>2468</v>
      </c>
      <c r="O17" s="110">
        <v>3</v>
      </c>
      <c r="P17" s="110">
        <v>5</v>
      </c>
      <c r="Q17" s="109">
        <v>-32</v>
      </c>
      <c r="R17" s="110">
        <v>0</v>
      </c>
      <c r="S17" s="113"/>
      <c r="T17" s="113"/>
      <c r="U17" s="113">
        <v>1</v>
      </c>
    </row>
    <row r="18" spans="1:21" s="104" customFormat="1" ht="15.75">
      <c r="A18" s="19" t="s">
        <v>12</v>
      </c>
      <c r="B18" s="137" t="s">
        <v>15</v>
      </c>
      <c r="C18" s="137"/>
      <c r="D18" s="42"/>
      <c r="E18" s="42"/>
      <c r="F18" s="42">
        <v>440</v>
      </c>
      <c r="G18" s="42"/>
      <c r="H18" s="42"/>
      <c r="I18" s="42">
        <v>434</v>
      </c>
      <c r="J18" s="244">
        <v>454</v>
      </c>
      <c r="K18" s="249">
        <v>459</v>
      </c>
      <c r="L18" s="249">
        <v>452</v>
      </c>
      <c r="M18" s="267">
        <v>466</v>
      </c>
      <c r="N18" s="154">
        <f t="shared" si="1"/>
        <v>2705</v>
      </c>
      <c r="O18" s="100">
        <v>6</v>
      </c>
      <c r="P18" s="100">
        <v>2</v>
      </c>
      <c r="Q18" s="154">
        <v>114</v>
      </c>
      <c r="R18" s="100">
        <v>2</v>
      </c>
      <c r="S18" s="103">
        <v>1</v>
      </c>
      <c r="T18" s="103"/>
      <c r="U18" s="103"/>
    </row>
    <row r="19" spans="1:21" s="114" customFormat="1" ht="15.75">
      <c r="A19" s="26" t="s">
        <v>13</v>
      </c>
      <c r="B19" s="57" t="s">
        <v>263</v>
      </c>
      <c r="C19" s="57"/>
      <c r="D19" s="243">
        <v>432</v>
      </c>
      <c r="E19" s="43"/>
      <c r="F19" s="243">
        <v>427</v>
      </c>
      <c r="G19" s="43"/>
      <c r="H19" s="43">
        <v>404</v>
      </c>
      <c r="I19" s="43"/>
      <c r="J19" s="243">
        <v>456</v>
      </c>
      <c r="K19" s="47"/>
      <c r="L19" s="47">
        <v>426</v>
      </c>
      <c r="M19" s="250">
        <v>442</v>
      </c>
      <c r="N19" s="109">
        <f t="shared" si="1"/>
        <v>2587</v>
      </c>
      <c r="O19" s="110">
        <v>6</v>
      </c>
      <c r="P19" s="110">
        <v>2</v>
      </c>
      <c r="Q19" s="109">
        <f>N19-2526</f>
        <v>61</v>
      </c>
      <c r="R19" s="110">
        <v>2</v>
      </c>
      <c r="S19" s="113">
        <v>1</v>
      </c>
      <c r="T19" s="113"/>
      <c r="U19" s="113"/>
    </row>
    <row r="20" spans="1:21" s="148" customFormat="1" ht="15.75">
      <c r="A20" s="100" t="s">
        <v>14</v>
      </c>
      <c r="B20" s="121" t="s">
        <v>23</v>
      </c>
      <c r="C20" s="121"/>
      <c r="D20" s="120">
        <v>421</v>
      </c>
      <c r="E20" s="120"/>
      <c r="F20" s="258">
        <v>431</v>
      </c>
      <c r="G20" s="120"/>
      <c r="H20" s="120"/>
      <c r="I20" s="120">
        <v>416</v>
      </c>
      <c r="J20" s="120">
        <v>422</v>
      </c>
      <c r="K20" s="254">
        <v>458</v>
      </c>
      <c r="L20" s="129"/>
      <c r="M20" s="260">
        <v>457</v>
      </c>
      <c r="N20" s="175">
        <f t="shared" si="1"/>
        <v>2605</v>
      </c>
      <c r="O20" s="145">
        <v>5</v>
      </c>
      <c r="P20" s="145">
        <v>3</v>
      </c>
      <c r="Q20" s="175">
        <v>60</v>
      </c>
      <c r="R20" s="145">
        <v>2</v>
      </c>
      <c r="S20" s="176">
        <v>1</v>
      </c>
      <c r="T20" s="176"/>
      <c r="U20" s="176"/>
    </row>
    <row r="21" spans="1:21" s="114" customFormat="1" ht="15.75">
      <c r="A21" s="26" t="s">
        <v>261</v>
      </c>
      <c r="B21" s="57" t="s">
        <v>260</v>
      </c>
      <c r="C21" s="57"/>
      <c r="D21" s="43">
        <v>414</v>
      </c>
      <c r="E21" s="43"/>
      <c r="F21" s="43">
        <v>414</v>
      </c>
      <c r="G21" s="43"/>
      <c r="H21" s="243">
        <v>419</v>
      </c>
      <c r="I21" s="243">
        <v>427</v>
      </c>
      <c r="J21" s="43"/>
      <c r="K21" s="47">
        <v>419</v>
      </c>
      <c r="L21" s="47"/>
      <c r="M21" s="39">
        <v>417</v>
      </c>
      <c r="N21" s="109">
        <f t="shared" si="1"/>
        <v>2510</v>
      </c>
      <c r="O21" s="110">
        <v>2</v>
      </c>
      <c r="P21" s="110">
        <v>6</v>
      </c>
      <c r="Q21" s="109">
        <v>-82</v>
      </c>
      <c r="R21" s="110">
        <v>0</v>
      </c>
      <c r="S21" s="113"/>
      <c r="T21" s="113"/>
      <c r="U21" s="113">
        <v>1</v>
      </c>
    </row>
    <row r="22" spans="1:22" s="23" customFormat="1" ht="16.5" thickBot="1">
      <c r="A22" s="145" t="s">
        <v>262</v>
      </c>
      <c r="B22" s="153" t="s">
        <v>209</v>
      </c>
      <c r="C22" s="169"/>
      <c r="D22" s="170"/>
      <c r="E22" s="170"/>
      <c r="F22" s="284">
        <v>455</v>
      </c>
      <c r="G22" s="170">
        <v>377</v>
      </c>
      <c r="H22" s="284">
        <v>447</v>
      </c>
      <c r="I22" s="170"/>
      <c r="J22" s="284">
        <v>425</v>
      </c>
      <c r="K22" s="284">
        <v>433</v>
      </c>
      <c r="L22" s="170"/>
      <c r="M22" s="314">
        <v>446</v>
      </c>
      <c r="N22" s="24">
        <f t="shared" si="1"/>
        <v>2583</v>
      </c>
      <c r="O22" s="25">
        <v>7</v>
      </c>
      <c r="P22" s="25">
        <v>1</v>
      </c>
      <c r="Q22" s="24">
        <v>139</v>
      </c>
      <c r="R22" s="25">
        <v>2</v>
      </c>
      <c r="S22" s="76">
        <v>1</v>
      </c>
      <c r="T22" s="76"/>
      <c r="U22" s="76"/>
      <c r="V22" s="151"/>
    </row>
    <row r="23" spans="3:21" ht="16.5" thickTop="1">
      <c r="C23" s="6">
        <f>SUM(C6:C17)+SUM(C21:C22)</f>
        <v>0</v>
      </c>
      <c r="D23" s="6">
        <f>SUM(D6:D17)+SUM(D18:D22)</f>
        <v>3838</v>
      </c>
      <c r="E23" s="6">
        <f>SUM(E6:E17)+SUM(E21:E22)</f>
        <v>427</v>
      </c>
      <c r="F23" s="6">
        <f aca="true" t="shared" si="2" ref="F23:L23">SUM(F6:F22)</f>
        <v>6602</v>
      </c>
      <c r="G23" s="6">
        <f>SUM(G7:G22)</f>
        <v>377</v>
      </c>
      <c r="H23" s="6">
        <f>SUM(H6:H20)+SUM(H21:H22)</f>
        <v>5467</v>
      </c>
      <c r="I23" s="6">
        <f>SUM(I6:I11)+SUM(I12:I22)</f>
        <v>4264</v>
      </c>
      <c r="J23" s="6">
        <f t="shared" si="2"/>
        <v>5277</v>
      </c>
      <c r="K23" s="6">
        <f t="shared" si="2"/>
        <v>5680</v>
      </c>
      <c r="L23" s="6">
        <f t="shared" si="2"/>
        <v>2561</v>
      </c>
      <c r="M23" s="6">
        <f>SUM(M6:M17)+SUM(M18:M22)</f>
        <v>7094</v>
      </c>
      <c r="S23" s="2">
        <f>SUM(S6:S22)</f>
        <v>13</v>
      </c>
      <c r="T23" s="2">
        <f>SUM(T6:T22)</f>
        <v>0</v>
      </c>
      <c r="U23" s="2">
        <f>SUM(U6:U22)</f>
        <v>3</v>
      </c>
    </row>
    <row r="24" spans="2:21" ht="15.75">
      <c r="B24" s="1" t="s">
        <v>225</v>
      </c>
      <c r="C24" s="6">
        <f>COUNT(C6:C17)+COUNT(C21:C22)</f>
        <v>0</v>
      </c>
      <c r="D24" s="6">
        <f>COUNT(D6:D17)+COUNT(D18:D22)</f>
        <v>9</v>
      </c>
      <c r="E24" s="6">
        <f>COUNT(E6:E17)+COUNT(E21:E22)</f>
        <v>1</v>
      </c>
      <c r="F24" s="6">
        <f aca="true" t="shared" si="3" ref="F24:L24">COUNT(F6:F22)</f>
        <v>15</v>
      </c>
      <c r="G24" s="6">
        <f>COUNT(G7:G22)</f>
        <v>1</v>
      </c>
      <c r="H24" s="6">
        <f>COUNT(H6:H20)+COUNT(H21:H22)</f>
        <v>13</v>
      </c>
      <c r="I24" s="6">
        <f>COUNT(I6:I11)+COUNT(I12:I22)</f>
        <v>10</v>
      </c>
      <c r="J24" s="6">
        <f t="shared" si="3"/>
        <v>12</v>
      </c>
      <c r="K24" s="6">
        <f t="shared" si="3"/>
        <v>13</v>
      </c>
      <c r="L24" s="6">
        <f t="shared" si="3"/>
        <v>6</v>
      </c>
      <c r="M24" s="6">
        <f>COUNT(M6:M17)+COUNT(M18:M22)</f>
        <v>16</v>
      </c>
      <c r="S24" s="2"/>
      <c r="T24" s="2"/>
      <c r="U24" s="2"/>
    </row>
    <row r="25" spans="2:20" ht="33" customHeight="1">
      <c r="B25" s="11" t="s">
        <v>127</v>
      </c>
      <c r="C25" s="16"/>
      <c r="D25" s="16">
        <f>D23/D24</f>
        <v>426.44444444444446</v>
      </c>
      <c r="E25" s="16">
        <f>E23/E24</f>
        <v>427</v>
      </c>
      <c r="F25" s="16">
        <f aca="true" t="shared" si="4" ref="F25:L25">AVERAGE(F6:F22)</f>
        <v>440.1333333333333</v>
      </c>
      <c r="G25" s="16">
        <f t="shared" si="4"/>
        <v>377</v>
      </c>
      <c r="H25" s="16">
        <f>H23/H24</f>
        <v>420.53846153846155</v>
      </c>
      <c r="I25" s="16">
        <f>I23/I24</f>
        <v>426.4</v>
      </c>
      <c r="J25" s="16">
        <f t="shared" si="4"/>
        <v>439.75</v>
      </c>
      <c r="K25" s="16">
        <f t="shared" si="4"/>
        <v>436.9230769230769</v>
      </c>
      <c r="L25" s="16">
        <f t="shared" si="4"/>
        <v>426.8333333333333</v>
      </c>
      <c r="M25" s="16">
        <f>M23/M24</f>
        <v>443.375</v>
      </c>
      <c r="N25" s="3" t="s">
        <v>30</v>
      </c>
      <c r="O25" s="371" t="s">
        <v>115</v>
      </c>
      <c r="P25" s="371"/>
      <c r="Q25" s="3" t="s">
        <v>31</v>
      </c>
      <c r="R25" s="10" t="s">
        <v>116</v>
      </c>
      <c r="S25" s="74" t="s">
        <v>126</v>
      </c>
      <c r="T25" s="74" t="s">
        <v>223</v>
      </c>
    </row>
    <row r="26" spans="14:20" ht="15.75">
      <c r="N26" s="6">
        <f>SUM(N6:N22)</f>
        <v>41587</v>
      </c>
      <c r="O26" s="1">
        <f>SUM(O6:O22)</f>
        <v>88</v>
      </c>
      <c r="P26" s="1">
        <f>SUM(P6:P22)</f>
        <v>40</v>
      </c>
      <c r="Q26" s="1">
        <f>SUM(Q6:Q22)</f>
        <v>1415</v>
      </c>
      <c r="R26" s="1">
        <f>SUM(R6:R22)</f>
        <v>26</v>
      </c>
      <c r="S26" s="2">
        <f>O26-P26</f>
        <v>48</v>
      </c>
      <c r="T26" s="2">
        <f>SUM(S23:U23)</f>
        <v>16</v>
      </c>
    </row>
    <row r="27" spans="3:11" ht="15.75">
      <c r="C27" s="377" t="s">
        <v>39</v>
      </c>
      <c r="D27" s="377"/>
      <c r="E27" s="55"/>
      <c r="G27" s="375" t="s">
        <v>132</v>
      </c>
      <c r="H27" s="375"/>
      <c r="J27" s="376" t="s">
        <v>133</v>
      </c>
      <c r="K27" s="376"/>
    </row>
    <row r="28" spans="1:22" ht="16.5" thickBot="1">
      <c r="A28" s="73"/>
      <c r="B28" s="73"/>
      <c r="C28" s="227"/>
      <c r="D28" s="227"/>
      <c r="E28" s="227"/>
      <c r="F28" s="73"/>
      <c r="G28" s="228"/>
      <c r="H28" s="228"/>
      <c r="I28" s="73"/>
      <c r="J28" s="229"/>
      <c r="K28" s="229"/>
      <c r="L28" s="73"/>
      <c r="M28" s="73"/>
      <c r="N28" s="73"/>
      <c r="O28" s="73"/>
      <c r="P28" s="73"/>
      <c r="Q28" s="73"/>
      <c r="R28" s="73"/>
      <c r="S28" s="226"/>
      <c r="T28" s="226"/>
      <c r="U28" s="226"/>
      <c r="V28" s="226"/>
    </row>
    <row r="30" spans="2:21" ht="32.25" thickBot="1">
      <c r="B30" s="3" t="s">
        <v>25</v>
      </c>
      <c r="C30" s="8" t="s">
        <v>104</v>
      </c>
      <c r="D30" s="8" t="s">
        <v>106</v>
      </c>
      <c r="E30" s="8" t="s">
        <v>256</v>
      </c>
      <c r="F30" s="8" t="s">
        <v>107</v>
      </c>
      <c r="G30" s="8" t="s">
        <v>108</v>
      </c>
      <c r="H30" s="8" t="s">
        <v>105</v>
      </c>
      <c r="I30" s="8" t="s">
        <v>109</v>
      </c>
      <c r="J30" s="8" t="s">
        <v>135</v>
      </c>
      <c r="K30" s="8" t="s">
        <v>181</v>
      </c>
      <c r="L30" s="302" t="s">
        <v>220</v>
      </c>
      <c r="M30" s="8" t="s">
        <v>269</v>
      </c>
      <c r="N30" s="3" t="s">
        <v>30</v>
      </c>
      <c r="O30" s="3" t="s">
        <v>16</v>
      </c>
      <c r="P30" s="3" t="s">
        <v>29</v>
      </c>
      <c r="Q30" s="3" t="s">
        <v>31</v>
      </c>
      <c r="R30" s="10" t="s">
        <v>114</v>
      </c>
      <c r="S30" s="2" t="s">
        <v>184</v>
      </c>
      <c r="T30" s="2" t="s">
        <v>185</v>
      </c>
      <c r="U30" s="2" t="s">
        <v>186</v>
      </c>
    </row>
    <row r="31" spans="1:19" s="114" customFormat="1" ht="15.75">
      <c r="A31" s="26" t="s">
        <v>153</v>
      </c>
      <c r="B31" s="57" t="s">
        <v>196</v>
      </c>
      <c r="C31" s="43"/>
      <c r="D31" s="43"/>
      <c r="E31" s="43"/>
      <c r="F31" s="243">
        <v>452</v>
      </c>
      <c r="G31" s="243">
        <v>450</v>
      </c>
      <c r="H31" s="243">
        <v>441</v>
      </c>
      <c r="I31" s="43"/>
      <c r="J31" s="43">
        <v>418</v>
      </c>
      <c r="K31" s="243">
        <v>432</v>
      </c>
      <c r="L31" s="43"/>
      <c r="M31" s="243">
        <v>431</v>
      </c>
      <c r="N31" s="112">
        <f>SUM(C31:M31)</f>
        <v>2624</v>
      </c>
      <c r="O31" s="110">
        <v>7</v>
      </c>
      <c r="P31" s="110">
        <v>1</v>
      </c>
      <c r="Q31" s="110">
        <v>175</v>
      </c>
      <c r="R31" s="110">
        <v>2</v>
      </c>
      <c r="S31" s="114">
        <v>1</v>
      </c>
    </row>
    <row r="32" spans="1:19" s="23" customFormat="1" ht="15.75">
      <c r="A32" s="145" t="s">
        <v>154</v>
      </c>
      <c r="B32" s="153" t="s">
        <v>19</v>
      </c>
      <c r="C32" s="146"/>
      <c r="D32" s="146"/>
      <c r="E32" s="146"/>
      <c r="F32" s="257">
        <v>433</v>
      </c>
      <c r="G32" s="146"/>
      <c r="H32" s="257">
        <v>440</v>
      </c>
      <c r="I32" s="257">
        <v>446</v>
      </c>
      <c r="J32" s="146"/>
      <c r="K32" s="146">
        <v>416</v>
      </c>
      <c r="L32" s="257">
        <v>457</v>
      </c>
      <c r="M32" s="257">
        <v>421</v>
      </c>
      <c r="N32" s="69">
        <f aca="true" t="shared" si="5" ref="N32:N47">SUM(C32:M32)</f>
        <v>2613</v>
      </c>
      <c r="O32" s="19">
        <v>7</v>
      </c>
      <c r="P32" s="19">
        <v>1</v>
      </c>
      <c r="Q32" s="19">
        <v>197</v>
      </c>
      <c r="R32" s="19">
        <v>2</v>
      </c>
      <c r="S32" s="23">
        <v>1</v>
      </c>
    </row>
    <row r="33" spans="1:21" s="114" customFormat="1" ht="15.75">
      <c r="A33" s="26" t="s">
        <v>155</v>
      </c>
      <c r="B33" s="57" t="s">
        <v>24</v>
      </c>
      <c r="C33" s="43"/>
      <c r="D33" s="43"/>
      <c r="E33" s="243">
        <v>441</v>
      </c>
      <c r="F33" s="43">
        <v>419</v>
      </c>
      <c r="G33" s="43"/>
      <c r="H33" s="243">
        <v>427</v>
      </c>
      <c r="I33" s="43">
        <v>423</v>
      </c>
      <c r="J33" s="43">
        <v>417</v>
      </c>
      <c r="K33" s="43"/>
      <c r="L33" s="43"/>
      <c r="M33" s="243">
        <v>451</v>
      </c>
      <c r="N33" s="112">
        <f t="shared" si="5"/>
        <v>2578</v>
      </c>
      <c r="O33" s="110">
        <v>3</v>
      </c>
      <c r="P33" s="110">
        <v>5</v>
      </c>
      <c r="Q33" s="110">
        <f>N33-2603</f>
        <v>-25</v>
      </c>
      <c r="R33" s="110">
        <v>0</v>
      </c>
      <c r="U33" s="114">
        <v>1</v>
      </c>
    </row>
    <row r="34" spans="1:19" s="148" customFormat="1" ht="15.75">
      <c r="A34" s="100" t="s">
        <v>156</v>
      </c>
      <c r="B34" s="121" t="s">
        <v>17</v>
      </c>
      <c r="C34" s="120"/>
      <c r="D34" s="120">
        <v>405</v>
      </c>
      <c r="E34" s="120"/>
      <c r="F34" s="120"/>
      <c r="G34" s="120"/>
      <c r="H34" s="258">
        <v>444</v>
      </c>
      <c r="I34" s="120"/>
      <c r="J34" s="258">
        <v>440</v>
      </c>
      <c r="K34" s="258">
        <v>447</v>
      </c>
      <c r="L34" s="258">
        <v>445</v>
      </c>
      <c r="M34" s="120">
        <v>418</v>
      </c>
      <c r="N34" s="147">
        <f t="shared" si="5"/>
        <v>2599</v>
      </c>
      <c r="O34" s="145">
        <v>6</v>
      </c>
      <c r="P34" s="145">
        <v>2</v>
      </c>
      <c r="Q34" s="145">
        <f>N34-2493</f>
        <v>106</v>
      </c>
      <c r="R34" s="145">
        <v>2</v>
      </c>
      <c r="S34" s="148">
        <v>1</v>
      </c>
    </row>
    <row r="35" spans="1:19" s="114" customFormat="1" ht="15.75">
      <c r="A35" s="26" t="s">
        <v>157</v>
      </c>
      <c r="B35" s="57" t="s">
        <v>15</v>
      </c>
      <c r="C35" s="43"/>
      <c r="D35" s="43"/>
      <c r="E35" s="43"/>
      <c r="F35" s="243">
        <v>433</v>
      </c>
      <c r="G35" s="43">
        <v>408</v>
      </c>
      <c r="H35" s="43">
        <v>426</v>
      </c>
      <c r="I35" s="43"/>
      <c r="J35" s="243">
        <v>434</v>
      </c>
      <c r="K35" s="243">
        <v>452</v>
      </c>
      <c r="L35" s="43"/>
      <c r="M35" s="43">
        <v>413</v>
      </c>
      <c r="N35" s="112">
        <f t="shared" si="5"/>
        <v>2566</v>
      </c>
      <c r="O35" s="110">
        <v>5</v>
      </c>
      <c r="P35" s="110">
        <v>3</v>
      </c>
      <c r="Q35" s="110">
        <v>56</v>
      </c>
      <c r="R35" s="110">
        <v>2</v>
      </c>
      <c r="S35" s="114">
        <v>1</v>
      </c>
    </row>
    <row r="36" spans="1:19" s="104" customFormat="1" ht="15.75">
      <c r="A36" s="19" t="s">
        <v>158</v>
      </c>
      <c r="B36" s="137" t="s">
        <v>263</v>
      </c>
      <c r="C36" s="42"/>
      <c r="D36" s="42"/>
      <c r="E36" s="244">
        <v>455</v>
      </c>
      <c r="F36" s="244">
        <v>444</v>
      </c>
      <c r="G36" s="42"/>
      <c r="H36" s="244">
        <v>433</v>
      </c>
      <c r="I36" s="42"/>
      <c r="J36" s="244">
        <v>448</v>
      </c>
      <c r="K36" s="42">
        <v>430</v>
      </c>
      <c r="L36" s="244">
        <v>462</v>
      </c>
      <c r="M36" s="42"/>
      <c r="N36" s="102">
        <f t="shared" si="5"/>
        <v>2672</v>
      </c>
      <c r="O36" s="100">
        <v>7</v>
      </c>
      <c r="P36" s="100">
        <v>1</v>
      </c>
      <c r="Q36" s="100">
        <v>125</v>
      </c>
      <c r="R36" s="100">
        <v>2</v>
      </c>
      <c r="S36" s="104">
        <v>1</v>
      </c>
    </row>
    <row r="37" spans="1:21" s="114" customFormat="1" ht="15.75">
      <c r="A37" s="26" t="s">
        <v>159</v>
      </c>
      <c r="B37" s="57" t="s">
        <v>23</v>
      </c>
      <c r="C37" s="43"/>
      <c r="D37" s="43"/>
      <c r="E37" s="43">
        <v>400</v>
      </c>
      <c r="F37" s="243">
        <v>414</v>
      </c>
      <c r="G37" s="43"/>
      <c r="H37" s="43">
        <v>407</v>
      </c>
      <c r="I37" s="43"/>
      <c r="J37" s="43">
        <v>399</v>
      </c>
      <c r="K37" s="43"/>
      <c r="L37" s="43">
        <v>409</v>
      </c>
      <c r="M37" s="243">
        <v>454</v>
      </c>
      <c r="N37" s="112">
        <f t="shared" si="5"/>
        <v>2483</v>
      </c>
      <c r="O37" s="110">
        <v>2</v>
      </c>
      <c r="P37" s="110">
        <v>6</v>
      </c>
      <c r="Q37" s="110">
        <v>-13</v>
      </c>
      <c r="R37" s="110">
        <v>0</v>
      </c>
      <c r="U37" s="114">
        <v>1</v>
      </c>
    </row>
    <row r="38" spans="1:19" s="23" customFormat="1" ht="15.75">
      <c r="A38" s="145" t="s">
        <v>160</v>
      </c>
      <c r="B38" s="153" t="s">
        <v>260</v>
      </c>
      <c r="C38" s="146"/>
      <c r="D38" s="257">
        <v>426</v>
      </c>
      <c r="E38" s="146"/>
      <c r="F38" s="146">
        <v>421</v>
      </c>
      <c r="G38" s="146"/>
      <c r="H38" s="257">
        <v>432</v>
      </c>
      <c r="I38" s="146"/>
      <c r="J38" s="146"/>
      <c r="K38" s="257">
        <v>428</v>
      </c>
      <c r="L38" s="146">
        <v>393</v>
      </c>
      <c r="M38" s="257">
        <v>458</v>
      </c>
      <c r="N38" s="69">
        <f t="shared" si="5"/>
        <v>2558</v>
      </c>
      <c r="O38" s="19">
        <v>6</v>
      </c>
      <c r="P38" s="19">
        <v>2</v>
      </c>
      <c r="Q38" s="19">
        <v>154</v>
      </c>
      <c r="R38" s="19">
        <v>2</v>
      </c>
      <c r="S38" s="23">
        <v>1</v>
      </c>
    </row>
    <row r="39" spans="1:19" s="114" customFormat="1" ht="15.75">
      <c r="A39" s="26" t="s">
        <v>161</v>
      </c>
      <c r="B39" s="57" t="s">
        <v>209</v>
      </c>
      <c r="C39" s="43"/>
      <c r="D39" s="243">
        <v>407</v>
      </c>
      <c r="E39" s="243">
        <v>403</v>
      </c>
      <c r="F39" s="43"/>
      <c r="G39" s="43"/>
      <c r="H39" s="243">
        <v>393</v>
      </c>
      <c r="I39" s="43"/>
      <c r="J39" s="43"/>
      <c r="K39" s="43">
        <v>387</v>
      </c>
      <c r="L39" s="243">
        <v>407</v>
      </c>
      <c r="M39" s="243">
        <v>426</v>
      </c>
      <c r="N39" s="112">
        <f t="shared" si="5"/>
        <v>2423</v>
      </c>
      <c r="O39" s="110">
        <v>7</v>
      </c>
      <c r="P39" s="110">
        <v>1</v>
      </c>
      <c r="Q39" s="110">
        <v>111</v>
      </c>
      <c r="R39" s="110">
        <v>2</v>
      </c>
      <c r="S39" s="114">
        <v>1</v>
      </c>
    </row>
    <row r="40" spans="1:18" s="299" customFormat="1" ht="15.75">
      <c r="A40" s="293" t="s">
        <v>162</v>
      </c>
      <c r="B40" s="294" t="s">
        <v>255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297">
        <f t="shared" si="5"/>
        <v>0</v>
      </c>
      <c r="O40" s="293"/>
      <c r="P40" s="293"/>
      <c r="Q40" s="293"/>
      <c r="R40" s="293"/>
    </row>
    <row r="41" spans="1:19" s="104" customFormat="1" ht="15.75">
      <c r="A41" s="19" t="s">
        <v>163</v>
      </c>
      <c r="B41" s="137" t="s">
        <v>205</v>
      </c>
      <c r="C41" s="42"/>
      <c r="D41" s="244">
        <v>456</v>
      </c>
      <c r="E41" s="42"/>
      <c r="F41" s="42"/>
      <c r="G41" s="42"/>
      <c r="H41" s="42">
        <v>424</v>
      </c>
      <c r="I41" s="42"/>
      <c r="J41" s="244">
        <v>434</v>
      </c>
      <c r="K41" s="244">
        <v>434</v>
      </c>
      <c r="L41" s="244">
        <v>451</v>
      </c>
      <c r="M41" s="244">
        <v>445</v>
      </c>
      <c r="N41" s="102">
        <f t="shared" si="5"/>
        <v>2644</v>
      </c>
      <c r="O41" s="100">
        <v>7</v>
      </c>
      <c r="P41" s="100">
        <v>1</v>
      </c>
      <c r="Q41" s="100">
        <v>160</v>
      </c>
      <c r="R41" s="100">
        <v>2</v>
      </c>
      <c r="S41" s="104">
        <v>1</v>
      </c>
    </row>
    <row r="42" spans="1:19" s="114" customFormat="1" ht="15.75">
      <c r="A42" s="26" t="s">
        <v>164</v>
      </c>
      <c r="B42" s="57" t="s">
        <v>21</v>
      </c>
      <c r="C42" s="43"/>
      <c r="D42" s="243">
        <v>434</v>
      </c>
      <c r="E42" s="43"/>
      <c r="F42" s="243">
        <v>445</v>
      </c>
      <c r="G42" s="43"/>
      <c r="H42" s="43"/>
      <c r="I42" s="43"/>
      <c r="J42" s="43">
        <v>406</v>
      </c>
      <c r="K42" s="243">
        <v>432</v>
      </c>
      <c r="L42" s="43">
        <v>423</v>
      </c>
      <c r="M42" s="243">
        <v>460</v>
      </c>
      <c r="N42" s="112">
        <f t="shared" si="5"/>
        <v>2600</v>
      </c>
      <c r="O42" s="110">
        <v>6</v>
      </c>
      <c r="P42" s="110">
        <v>2</v>
      </c>
      <c r="Q42" s="110">
        <v>57</v>
      </c>
      <c r="R42" s="110">
        <v>2</v>
      </c>
      <c r="S42" s="114">
        <v>1</v>
      </c>
    </row>
    <row r="43" spans="1:20" s="23" customFormat="1" ht="15.75">
      <c r="A43" s="145" t="s">
        <v>165</v>
      </c>
      <c r="B43" s="153" t="s">
        <v>26</v>
      </c>
      <c r="C43" s="146"/>
      <c r="D43" s="146"/>
      <c r="E43" s="146">
        <v>434</v>
      </c>
      <c r="F43" s="257">
        <v>462</v>
      </c>
      <c r="G43" s="146"/>
      <c r="H43" s="146">
        <v>446</v>
      </c>
      <c r="I43" s="146"/>
      <c r="J43" s="146">
        <v>426</v>
      </c>
      <c r="K43" s="146"/>
      <c r="L43" s="146">
        <v>449</v>
      </c>
      <c r="M43" s="257">
        <v>479</v>
      </c>
      <c r="N43" s="69">
        <f t="shared" si="5"/>
        <v>2696</v>
      </c>
      <c r="O43" s="19">
        <v>4</v>
      </c>
      <c r="P43" s="19">
        <v>4</v>
      </c>
      <c r="Q43" s="19">
        <v>20</v>
      </c>
      <c r="R43" s="19">
        <v>1</v>
      </c>
      <c r="T43" s="23">
        <v>1</v>
      </c>
    </row>
    <row r="44" spans="1:19" s="114" customFormat="1" ht="15.75">
      <c r="A44" s="26" t="s">
        <v>265</v>
      </c>
      <c r="B44" s="57" t="s">
        <v>208</v>
      </c>
      <c r="C44" s="43"/>
      <c r="D44" s="243">
        <v>428</v>
      </c>
      <c r="E44" s="243">
        <v>488</v>
      </c>
      <c r="F44" s="43"/>
      <c r="G44" s="43"/>
      <c r="H44" s="43">
        <v>425</v>
      </c>
      <c r="I44" s="43"/>
      <c r="J44" s="243">
        <v>443</v>
      </c>
      <c r="K44" s="43"/>
      <c r="L44" s="43">
        <v>425</v>
      </c>
      <c r="M44" s="337">
        <v>470</v>
      </c>
      <c r="N44" s="112">
        <f t="shared" si="5"/>
        <v>2679</v>
      </c>
      <c r="O44" s="110">
        <v>6</v>
      </c>
      <c r="P44" s="110">
        <v>2</v>
      </c>
      <c r="Q44" s="110">
        <v>159</v>
      </c>
      <c r="R44" s="110">
        <v>2</v>
      </c>
      <c r="S44" s="114">
        <v>1</v>
      </c>
    </row>
    <row r="45" spans="1:19" s="148" customFormat="1" ht="15.75">
      <c r="A45" s="100" t="s">
        <v>266</v>
      </c>
      <c r="B45" s="121" t="s">
        <v>206</v>
      </c>
      <c r="C45" s="120"/>
      <c r="D45" s="338">
        <v>439</v>
      </c>
      <c r="E45" s="120"/>
      <c r="F45" s="338">
        <v>422</v>
      </c>
      <c r="G45" s="120"/>
      <c r="H45" s="338">
        <v>439</v>
      </c>
      <c r="I45" s="120"/>
      <c r="J45" s="120"/>
      <c r="K45" s="338">
        <v>434</v>
      </c>
      <c r="L45" s="338">
        <v>430</v>
      </c>
      <c r="M45" s="338">
        <v>456</v>
      </c>
      <c r="N45" s="147">
        <f t="shared" si="5"/>
        <v>2620</v>
      </c>
      <c r="O45" s="145">
        <v>8</v>
      </c>
      <c r="P45" s="145">
        <v>0</v>
      </c>
      <c r="Q45" s="145">
        <f>N45-2280</f>
        <v>340</v>
      </c>
      <c r="R45" s="145">
        <v>2</v>
      </c>
      <c r="S45" s="148">
        <v>1</v>
      </c>
    </row>
    <row r="46" spans="1:21" s="114" customFormat="1" ht="15.75">
      <c r="A46" s="26" t="s">
        <v>303</v>
      </c>
      <c r="B46" s="57" t="s">
        <v>20</v>
      </c>
      <c r="C46" s="43"/>
      <c r="D46" s="43">
        <v>200</v>
      </c>
      <c r="E46" s="337">
        <v>444</v>
      </c>
      <c r="F46" s="43">
        <v>415</v>
      </c>
      <c r="G46" s="43"/>
      <c r="H46" s="43">
        <v>396</v>
      </c>
      <c r="I46" s="43"/>
      <c r="J46" s="43"/>
      <c r="K46" s="337">
        <v>449</v>
      </c>
      <c r="L46" s="43">
        <v>197</v>
      </c>
      <c r="M46" s="337">
        <v>433</v>
      </c>
      <c r="N46" s="112">
        <f t="shared" si="5"/>
        <v>2534</v>
      </c>
      <c r="O46" s="110">
        <v>3</v>
      </c>
      <c r="P46" s="110">
        <v>5</v>
      </c>
      <c r="Q46" s="110">
        <v>-38</v>
      </c>
      <c r="R46" s="110">
        <v>0</v>
      </c>
      <c r="U46" s="114">
        <v>1</v>
      </c>
    </row>
    <row r="47" spans="1:21" s="104" customFormat="1" ht="16.5" thickBot="1">
      <c r="A47" s="19" t="s">
        <v>304</v>
      </c>
      <c r="B47" s="137" t="s">
        <v>22</v>
      </c>
      <c r="C47" s="301"/>
      <c r="D47" s="301"/>
      <c r="E47" s="381">
        <v>454</v>
      </c>
      <c r="F47" s="381">
        <v>444</v>
      </c>
      <c r="G47" s="301">
        <v>382</v>
      </c>
      <c r="H47" s="381">
        <v>449</v>
      </c>
      <c r="I47" s="301"/>
      <c r="J47" s="301"/>
      <c r="K47" s="381">
        <v>429</v>
      </c>
      <c r="L47" s="381">
        <v>411</v>
      </c>
      <c r="M47" s="301"/>
      <c r="N47" s="108">
        <f t="shared" si="5"/>
        <v>2569</v>
      </c>
      <c r="O47" s="107">
        <v>7</v>
      </c>
      <c r="P47" s="107">
        <v>1</v>
      </c>
      <c r="Q47" s="107">
        <f>N47-2422</f>
        <v>147</v>
      </c>
      <c r="R47" s="107">
        <v>2</v>
      </c>
      <c r="S47" s="127">
        <v>1</v>
      </c>
      <c r="T47" s="127"/>
      <c r="U47" s="127"/>
    </row>
    <row r="48" spans="3:21" ht="16.5" thickTop="1">
      <c r="C48" s="66">
        <f>SUM(C31:C45)</f>
        <v>0</v>
      </c>
      <c r="D48" s="66">
        <f>SUM(D31:D45)+SUM(D47)</f>
        <v>2995</v>
      </c>
      <c r="E48" s="66">
        <f>SUM(E31:E47)</f>
        <v>3519</v>
      </c>
      <c r="F48" s="66">
        <f aca="true" t="shared" si="6" ref="F48:M48">SUM(F31:F47)</f>
        <v>5204</v>
      </c>
      <c r="G48" s="66">
        <f t="shared" si="6"/>
        <v>1240</v>
      </c>
      <c r="H48" s="66">
        <f t="shared" si="6"/>
        <v>6422</v>
      </c>
      <c r="I48" s="66">
        <f t="shared" si="6"/>
        <v>869</v>
      </c>
      <c r="J48" s="66">
        <f t="shared" si="6"/>
        <v>4265</v>
      </c>
      <c r="K48" s="66">
        <f t="shared" si="6"/>
        <v>5170</v>
      </c>
      <c r="L48" s="66">
        <f>SUM(L31:L45)+SUM(L47)</f>
        <v>5162</v>
      </c>
      <c r="M48" s="66">
        <f t="shared" si="6"/>
        <v>6215</v>
      </c>
      <c r="O48" s="1">
        <f>SUM(O31:O47)</f>
        <v>91</v>
      </c>
      <c r="P48" s="1">
        <f>SUM(P31:P47)</f>
        <v>37</v>
      </c>
      <c r="Q48" s="1">
        <f>SUM(Q31:Q47)</f>
        <v>1731</v>
      </c>
      <c r="R48" s="1">
        <f>SUM(R31:R47)</f>
        <v>25</v>
      </c>
      <c r="S48" s="1">
        <f>SUM(S31:S47)+S23</f>
        <v>25</v>
      </c>
      <c r="T48" s="1">
        <f>SUM(T31:T47)+T23</f>
        <v>1</v>
      </c>
      <c r="U48" s="1">
        <f>SUM(U31:U47)+U23</f>
        <v>6</v>
      </c>
    </row>
    <row r="49" spans="2:13" ht="15.75">
      <c r="B49" s="67" t="s">
        <v>250</v>
      </c>
      <c r="C49" s="1">
        <f>COUNT(C31:C45)</f>
        <v>0</v>
      </c>
      <c r="D49" s="1">
        <f>COUNT(D31:D45)+COUNT(D47)</f>
        <v>7</v>
      </c>
      <c r="E49" s="1">
        <f>COUNT(E31:E47)</f>
        <v>8</v>
      </c>
      <c r="F49" s="1">
        <f aca="true" t="shared" si="7" ref="F49:M49">COUNT(F31:F47)</f>
        <v>12</v>
      </c>
      <c r="G49" s="1">
        <f t="shared" si="7"/>
        <v>3</v>
      </c>
      <c r="H49" s="1">
        <f t="shared" si="7"/>
        <v>15</v>
      </c>
      <c r="I49" s="1">
        <f t="shared" si="7"/>
        <v>2</v>
      </c>
      <c r="J49" s="1">
        <f t="shared" si="7"/>
        <v>10</v>
      </c>
      <c r="K49" s="1">
        <f t="shared" si="7"/>
        <v>12</v>
      </c>
      <c r="L49" s="1">
        <f>COUNT(L31:L45)+COUNT(L47)</f>
        <v>12</v>
      </c>
      <c r="M49" s="1">
        <f t="shared" si="7"/>
        <v>14</v>
      </c>
    </row>
    <row r="50" spans="2:21" ht="31.5">
      <c r="B50" s="11" t="s">
        <v>247</v>
      </c>
      <c r="C50" s="16"/>
      <c r="D50" s="16">
        <f aca="true" t="shared" si="8" ref="D50:M50">D48/D49</f>
        <v>427.85714285714283</v>
      </c>
      <c r="E50" s="16">
        <f t="shared" si="8"/>
        <v>439.875</v>
      </c>
      <c r="F50" s="16">
        <f t="shared" si="8"/>
        <v>433.6666666666667</v>
      </c>
      <c r="G50" s="16">
        <f t="shared" si="8"/>
        <v>413.3333333333333</v>
      </c>
      <c r="H50" s="16">
        <f t="shared" si="8"/>
        <v>428.1333333333333</v>
      </c>
      <c r="I50" s="16">
        <f t="shared" si="8"/>
        <v>434.5</v>
      </c>
      <c r="J50" s="16">
        <f t="shared" si="8"/>
        <v>426.5</v>
      </c>
      <c r="K50" s="16">
        <f t="shared" si="8"/>
        <v>430.8333333333333</v>
      </c>
      <c r="L50" s="16">
        <f t="shared" si="8"/>
        <v>430.1666666666667</v>
      </c>
      <c r="M50" s="16">
        <f t="shared" si="8"/>
        <v>443.92857142857144</v>
      </c>
      <c r="N50" s="3" t="s">
        <v>30</v>
      </c>
      <c r="O50" s="371" t="s">
        <v>115</v>
      </c>
      <c r="P50" s="371"/>
      <c r="Q50" s="3" t="s">
        <v>31</v>
      </c>
      <c r="R50" s="10" t="s">
        <v>116</v>
      </c>
      <c r="T50" s="74" t="s">
        <v>126</v>
      </c>
      <c r="U50" s="74" t="s">
        <v>223</v>
      </c>
    </row>
    <row r="51" spans="14:21" ht="15.75">
      <c r="N51" s="6">
        <f>SUM(N31:N47)+N26</f>
        <v>83045</v>
      </c>
      <c r="O51" s="6">
        <f>SUM(O31:O47)+O26</f>
        <v>179</v>
      </c>
      <c r="P51" s="6">
        <f>SUM(P31:P47)+P26</f>
        <v>77</v>
      </c>
      <c r="Q51" s="6">
        <f>SUM(Q31:Q47)+Q26</f>
        <v>3146</v>
      </c>
      <c r="R51" s="6">
        <f>SUM(R31:R47)+R26</f>
        <v>51</v>
      </c>
      <c r="T51" s="56">
        <f>O51-P51</f>
        <v>102</v>
      </c>
      <c r="U51" s="2">
        <f>SUM(S48:U48)</f>
        <v>32</v>
      </c>
    </row>
    <row r="53" spans="14:15" ht="15.75">
      <c r="N53" s="1" t="s">
        <v>128</v>
      </c>
      <c r="O53" s="18">
        <f>N51/U51</f>
        <v>2595.15625</v>
      </c>
    </row>
  </sheetData>
  <sheetProtection/>
  <mergeCells count="11">
    <mergeCell ref="F1:G1"/>
    <mergeCell ref="I1:J1"/>
    <mergeCell ref="L1:M1"/>
    <mergeCell ref="L2:M2"/>
    <mergeCell ref="O50:P50"/>
    <mergeCell ref="J27:K27"/>
    <mergeCell ref="C4:K4"/>
    <mergeCell ref="O4:P4"/>
    <mergeCell ref="C27:D27"/>
    <mergeCell ref="O25:P25"/>
    <mergeCell ref="G27:H27"/>
  </mergeCells>
  <printOptions/>
  <pageMargins left="0.75" right="0.75" top="1" bottom="1" header="0.5" footer="0.5"/>
  <pageSetup horizontalDpi="600" verticalDpi="600" orientation="portrait" paperSize="9" r:id="rId1"/>
  <ignoredErrors>
    <ignoredError sqref="N7 I25 N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53"/>
  <sheetViews>
    <sheetView zoomScale="90" zoomScaleNormal="90" zoomScalePageLayoutView="0" workbookViewId="0" topLeftCell="A25">
      <selection activeCell="E47" sqref="E47"/>
    </sheetView>
  </sheetViews>
  <sheetFormatPr defaultColWidth="9.00390625" defaultRowHeight="12.75"/>
  <cols>
    <col min="1" max="1" width="13.375" style="1" customWidth="1"/>
    <col min="2" max="2" width="14.75390625" style="1" bestFit="1" customWidth="1"/>
    <col min="3" max="7" width="9.125" style="1" customWidth="1"/>
    <col min="8" max="8" width="11.875" style="1" customWidth="1"/>
    <col min="9" max="9" width="10.375" style="1" customWidth="1"/>
    <col min="10" max="10" width="11.25390625" style="1" customWidth="1"/>
    <col min="11" max="11" width="9.125" style="1" customWidth="1"/>
    <col min="12" max="12" width="18.375" style="1" customWidth="1"/>
    <col min="13" max="13" width="15.75390625" style="1" bestFit="1" customWidth="1"/>
    <col min="14" max="14" width="14.00390625" style="1" customWidth="1"/>
    <col min="15" max="15" width="11.25390625" style="1" customWidth="1"/>
    <col min="16" max="16" width="13.375" style="1" bestFit="1" customWidth="1"/>
    <col min="17" max="17" width="13.375" style="1" customWidth="1"/>
    <col min="18" max="18" width="12.75390625" style="1" customWidth="1"/>
    <col min="20" max="21" width="11.875" style="0" customWidth="1"/>
  </cols>
  <sheetData>
    <row r="1" spans="1:14" ht="15.75">
      <c r="A1" s="58" t="s">
        <v>141</v>
      </c>
      <c r="B1" s="59"/>
      <c r="C1" s="59" t="s">
        <v>138</v>
      </c>
      <c r="D1" s="59" t="s">
        <v>277</v>
      </c>
      <c r="E1" s="372" t="s">
        <v>143</v>
      </c>
      <c r="F1" s="372"/>
      <c r="H1" s="368" t="s">
        <v>151</v>
      </c>
      <c r="I1" s="368"/>
      <c r="J1" s="11" t="s">
        <v>152</v>
      </c>
      <c r="K1" s="368" t="s">
        <v>126</v>
      </c>
      <c r="L1" s="368"/>
      <c r="M1" s="1" t="s">
        <v>128</v>
      </c>
      <c r="N1" s="18">
        <f>N26/U26</f>
        <v>2563.875</v>
      </c>
    </row>
    <row r="2" spans="8:14" ht="15.75">
      <c r="H2" s="1">
        <f>O26+N48</f>
        <v>162</v>
      </c>
      <c r="I2" s="1">
        <f>P26+O48</f>
        <v>94</v>
      </c>
      <c r="J2" s="1">
        <f>R26+Q48</f>
        <v>52</v>
      </c>
      <c r="K2" s="374">
        <f>H2-I2</f>
        <v>68</v>
      </c>
      <c r="L2" s="374"/>
      <c r="M2" s="1" t="s">
        <v>234</v>
      </c>
      <c r="N2" s="6">
        <f>M7+M10+M12+M14+M16+M18+M20+M22</f>
        <v>20532</v>
      </c>
    </row>
    <row r="4" spans="3:21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O4" s="371" t="s">
        <v>28</v>
      </c>
      <c r="P4" s="371"/>
      <c r="S4" s="2"/>
      <c r="T4" s="2"/>
      <c r="U4" s="2"/>
    </row>
    <row r="5" spans="2:20" ht="32.25" thickBot="1">
      <c r="B5" s="3" t="s">
        <v>25</v>
      </c>
      <c r="C5" s="8" t="s">
        <v>37</v>
      </c>
      <c r="D5" s="8" t="s">
        <v>38</v>
      </c>
      <c r="E5" s="8" t="s">
        <v>65</v>
      </c>
      <c r="F5" s="8" t="s">
        <v>66</v>
      </c>
      <c r="G5" s="8" t="s">
        <v>67</v>
      </c>
      <c r="H5" s="8" t="s">
        <v>96</v>
      </c>
      <c r="I5" s="8" t="s">
        <v>35</v>
      </c>
      <c r="J5" s="8" t="s">
        <v>195</v>
      </c>
      <c r="K5" s="8" t="s">
        <v>33</v>
      </c>
      <c r="L5" s="8" t="s">
        <v>268</v>
      </c>
      <c r="M5" s="3" t="s">
        <v>30</v>
      </c>
      <c r="N5" s="3" t="s">
        <v>24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04" customFormat="1" ht="15.75">
      <c r="A6" s="19" t="s">
        <v>0</v>
      </c>
      <c r="B6" s="137" t="s">
        <v>22</v>
      </c>
      <c r="C6" s="137"/>
      <c r="D6" s="42"/>
      <c r="E6" s="42">
        <v>382</v>
      </c>
      <c r="F6" s="42">
        <v>410</v>
      </c>
      <c r="G6" s="42">
        <v>389</v>
      </c>
      <c r="H6" s="244">
        <v>414</v>
      </c>
      <c r="I6" s="42"/>
      <c r="J6" s="244">
        <v>424</v>
      </c>
      <c r="K6" s="244">
        <v>419</v>
      </c>
      <c r="L6" s="35"/>
      <c r="M6" s="154">
        <f aca="true" t="shared" si="0" ref="M6:M15">SUM(C6:L6)</f>
        <v>2438</v>
      </c>
      <c r="N6" s="100">
        <v>5</v>
      </c>
      <c r="O6" s="100">
        <v>3</v>
      </c>
      <c r="P6" s="100">
        <v>40</v>
      </c>
      <c r="Q6" s="100">
        <v>2</v>
      </c>
      <c r="R6" s="194">
        <v>1</v>
      </c>
      <c r="S6" s="194"/>
      <c r="T6" s="194"/>
    </row>
    <row r="7" spans="1:20" s="114" customFormat="1" ht="15.75">
      <c r="A7" s="26" t="s">
        <v>1</v>
      </c>
      <c r="B7" s="57" t="s">
        <v>196</v>
      </c>
      <c r="C7" s="57"/>
      <c r="D7" s="43"/>
      <c r="E7" s="43"/>
      <c r="F7" s="43">
        <v>387</v>
      </c>
      <c r="G7" s="243">
        <v>442</v>
      </c>
      <c r="H7" s="243">
        <v>431</v>
      </c>
      <c r="I7" s="243">
        <v>437</v>
      </c>
      <c r="J7" s="243">
        <v>442</v>
      </c>
      <c r="K7" s="243">
        <v>427</v>
      </c>
      <c r="L7" s="39"/>
      <c r="M7" s="109">
        <f t="shared" si="0"/>
        <v>2566</v>
      </c>
      <c r="N7" s="110">
        <v>7</v>
      </c>
      <c r="O7" s="110">
        <v>1</v>
      </c>
      <c r="P7" s="110">
        <v>108</v>
      </c>
      <c r="Q7" s="110">
        <v>2</v>
      </c>
      <c r="R7" s="196">
        <v>1</v>
      </c>
      <c r="S7" s="196"/>
      <c r="T7" s="196"/>
    </row>
    <row r="8" spans="1:20" s="104" customFormat="1" ht="15.75">
      <c r="A8" s="145" t="s">
        <v>2</v>
      </c>
      <c r="B8" s="121" t="s">
        <v>19</v>
      </c>
      <c r="C8" s="258">
        <v>457</v>
      </c>
      <c r="D8" s="120"/>
      <c r="E8" s="120"/>
      <c r="F8" s="120"/>
      <c r="G8" s="120">
        <v>400</v>
      </c>
      <c r="H8" s="258">
        <v>449</v>
      </c>
      <c r="I8" s="258">
        <v>459</v>
      </c>
      <c r="J8" s="258">
        <v>443</v>
      </c>
      <c r="K8" s="120">
        <v>403</v>
      </c>
      <c r="L8" s="157"/>
      <c r="M8" s="154">
        <f t="shared" si="0"/>
        <v>2611</v>
      </c>
      <c r="N8" s="100">
        <v>6</v>
      </c>
      <c r="O8" s="100">
        <v>2</v>
      </c>
      <c r="P8" s="100">
        <v>64</v>
      </c>
      <c r="Q8" s="100">
        <v>2</v>
      </c>
      <c r="R8" s="194">
        <v>1</v>
      </c>
      <c r="S8" s="194"/>
      <c r="T8" s="194"/>
    </row>
    <row r="9" spans="1:20" s="104" customFormat="1" ht="15.75">
      <c r="A9" s="145" t="s">
        <v>3</v>
      </c>
      <c r="B9" s="121" t="s">
        <v>255</v>
      </c>
      <c r="C9" s="180"/>
      <c r="D9" s="181"/>
      <c r="E9" s="181"/>
      <c r="F9" s="181"/>
      <c r="G9" s="181"/>
      <c r="H9" s="181"/>
      <c r="I9" s="181"/>
      <c r="J9" s="181"/>
      <c r="K9" s="181"/>
      <c r="L9" s="182"/>
      <c r="M9" s="154">
        <f t="shared" si="0"/>
        <v>0</v>
      </c>
      <c r="N9" s="183"/>
      <c r="O9" s="183"/>
      <c r="P9" s="184"/>
      <c r="Q9" s="183"/>
      <c r="R9" s="199"/>
      <c r="S9" s="199"/>
      <c r="T9" s="199"/>
    </row>
    <row r="10" spans="1:20" s="114" customFormat="1" ht="15.75">
      <c r="A10" s="26" t="s">
        <v>4</v>
      </c>
      <c r="B10" s="152" t="s">
        <v>17</v>
      </c>
      <c r="C10" s="152"/>
      <c r="D10" s="138"/>
      <c r="E10" s="138">
        <v>413</v>
      </c>
      <c r="F10" s="138">
        <v>418</v>
      </c>
      <c r="G10" s="138"/>
      <c r="H10" s="265">
        <v>437</v>
      </c>
      <c r="I10" s="138">
        <v>404</v>
      </c>
      <c r="J10" s="265">
        <v>440</v>
      </c>
      <c r="K10" s="138">
        <v>419</v>
      </c>
      <c r="L10" s="159"/>
      <c r="M10" s="109">
        <f t="shared" si="0"/>
        <v>2531</v>
      </c>
      <c r="N10" s="110">
        <v>2</v>
      </c>
      <c r="O10" s="110">
        <v>6</v>
      </c>
      <c r="P10" s="109">
        <v>-89</v>
      </c>
      <c r="Q10" s="110">
        <v>0</v>
      </c>
      <c r="R10" s="196"/>
      <c r="S10" s="196"/>
      <c r="T10" s="196">
        <v>1</v>
      </c>
    </row>
    <row r="11" spans="1:20" s="104" customFormat="1" ht="15.75">
      <c r="A11" s="145" t="s">
        <v>5</v>
      </c>
      <c r="B11" s="153" t="s">
        <v>15</v>
      </c>
      <c r="C11" s="153"/>
      <c r="D11" s="257">
        <v>436</v>
      </c>
      <c r="E11" s="146">
        <v>409</v>
      </c>
      <c r="F11" s="146">
        <v>417</v>
      </c>
      <c r="G11" s="146"/>
      <c r="H11" s="257">
        <v>433</v>
      </c>
      <c r="I11" s="257">
        <v>450</v>
      </c>
      <c r="J11" s="146">
        <v>414</v>
      </c>
      <c r="K11" s="146"/>
      <c r="L11" s="165"/>
      <c r="M11" s="154">
        <f t="shared" si="0"/>
        <v>2559</v>
      </c>
      <c r="N11" s="100">
        <v>5</v>
      </c>
      <c r="O11" s="100">
        <v>3</v>
      </c>
      <c r="P11" s="154">
        <v>6</v>
      </c>
      <c r="Q11" s="100">
        <v>2</v>
      </c>
      <c r="R11" s="194">
        <v>1</v>
      </c>
      <c r="S11" s="194"/>
      <c r="T11" s="194"/>
    </row>
    <row r="12" spans="1:20" s="30" customFormat="1" ht="15.75">
      <c r="A12" s="26" t="s">
        <v>6</v>
      </c>
      <c r="B12" s="57" t="s">
        <v>263</v>
      </c>
      <c r="C12" s="57"/>
      <c r="D12" s="43"/>
      <c r="E12" s="243">
        <v>441</v>
      </c>
      <c r="F12" s="43">
        <v>411</v>
      </c>
      <c r="G12" s="43"/>
      <c r="H12" s="243">
        <v>433</v>
      </c>
      <c r="I12" s="43">
        <v>404</v>
      </c>
      <c r="J12" s="43">
        <v>402</v>
      </c>
      <c r="K12" s="43">
        <v>407</v>
      </c>
      <c r="L12" s="39"/>
      <c r="M12" s="28">
        <f t="shared" si="0"/>
        <v>2498</v>
      </c>
      <c r="N12" s="26">
        <v>2</v>
      </c>
      <c r="O12" s="26">
        <v>6</v>
      </c>
      <c r="P12" s="28">
        <f>M12-2553</f>
        <v>-55</v>
      </c>
      <c r="Q12" s="26">
        <v>0</v>
      </c>
      <c r="R12" s="79"/>
      <c r="S12" s="79"/>
      <c r="T12" s="79">
        <v>1</v>
      </c>
    </row>
    <row r="13" spans="1:20" s="104" customFormat="1" ht="15.75">
      <c r="A13" s="145" t="s">
        <v>7</v>
      </c>
      <c r="B13" s="121" t="s">
        <v>23</v>
      </c>
      <c r="C13" s="258">
        <v>459</v>
      </c>
      <c r="D13" s="120"/>
      <c r="E13" s="129">
        <v>413</v>
      </c>
      <c r="F13" s="254">
        <v>432</v>
      </c>
      <c r="G13" s="254">
        <v>442</v>
      </c>
      <c r="H13" s="129"/>
      <c r="I13" s="254">
        <v>448</v>
      </c>
      <c r="J13" s="129"/>
      <c r="K13" s="129">
        <v>385</v>
      </c>
      <c r="L13" s="157"/>
      <c r="M13" s="154">
        <f t="shared" si="0"/>
        <v>2579</v>
      </c>
      <c r="N13" s="100">
        <v>6</v>
      </c>
      <c r="O13" s="100">
        <v>2</v>
      </c>
      <c r="P13" s="154">
        <v>147</v>
      </c>
      <c r="Q13" s="100">
        <v>2</v>
      </c>
      <c r="R13" s="194">
        <v>1</v>
      </c>
      <c r="S13" s="194"/>
      <c r="T13" s="194"/>
    </row>
    <row r="14" spans="1:20" s="30" customFormat="1" ht="15.75">
      <c r="A14" s="110" t="s">
        <v>8</v>
      </c>
      <c r="B14" s="152" t="s">
        <v>260</v>
      </c>
      <c r="C14" s="265">
        <v>469</v>
      </c>
      <c r="D14" s="265">
        <v>474</v>
      </c>
      <c r="E14" s="138"/>
      <c r="F14" s="138">
        <v>380</v>
      </c>
      <c r="G14" s="138"/>
      <c r="H14" s="265">
        <v>444</v>
      </c>
      <c r="I14" s="138">
        <v>427</v>
      </c>
      <c r="J14" s="138">
        <v>395</v>
      </c>
      <c r="K14" s="138"/>
      <c r="L14" s="159"/>
      <c r="M14" s="28">
        <f t="shared" si="0"/>
        <v>2589</v>
      </c>
      <c r="N14" s="26">
        <v>5</v>
      </c>
      <c r="O14" s="26">
        <v>3</v>
      </c>
      <c r="P14" s="26">
        <v>7</v>
      </c>
      <c r="Q14" s="26">
        <v>2</v>
      </c>
      <c r="R14" s="79">
        <v>1</v>
      </c>
      <c r="S14" s="79"/>
      <c r="T14" s="79"/>
    </row>
    <row r="15" spans="1:20" s="148" customFormat="1" ht="15.75">
      <c r="A15" s="145" t="s">
        <v>9</v>
      </c>
      <c r="B15" s="153" t="s">
        <v>209</v>
      </c>
      <c r="C15" s="153"/>
      <c r="D15" s="146"/>
      <c r="E15" s="257">
        <v>444</v>
      </c>
      <c r="F15" s="146">
        <v>427</v>
      </c>
      <c r="G15" s="146"/>
      <c r="H15" s="146">
        <v>428</v>
      </c>
      <c r="I15" s="257">
        <v>432</v>
      </c>
      <c r="J15" s="257">
        <v>431</v>
      </c>
      <c r="K15" s="146">
        <v>427</v>
      </c>
      <c r="L15" s="165"/>
      <c r="M15" s="154">
        <f t="shared" si="0"/>
        <v>2589</v>
      </c>
      <c r="N15" s="100">
        <v>5</v>
      </c>
      <c r="O15" s="100">
        <v>3</v>
      </c>
      <c r="P15" s="154">
        <v>86</v>
      </c>
      <c r="Q15" s="121">
        <v>2</v>
      </c>
      <c r="R15" s="195">
        <v>1</v>
      </c>
      <c r="S15" s="195"/>
      <c r="T15" s="195"/>
    </row>
    <row r="16" spans="1:20" s="30" customFormat="1" ht="15.75">
      <c r="A16" s="110" t="s">
        <v>10</v>
      </c>
      <c r="B16" s="57" t="s">
        <v>16</v>
      </c>
      <c r="C16" s="243">
        <v>484</v>
      </c>
      <c r="D16" s="243">
        <v>482</v>
      </c>
      <c r="E16" s="43"/>
      <c r="F16" s="43">
        <v>428</v>
      </c>
      <c r="G16" s="43"/>
      <c r="H16" s="43">
        <v>431</v>
      </c>
      <c r="I16" s="243">
        <v>453</v>
      </c>
      <c r="J16" s="43">
        <v>433</v>
      </c>
      <c r="K16" s="43"/>
      <c r="L16" s="39"/>
      <c r="M16" s="28">
        <f>SUM(B16:L16)</f>
        <v>2711</v>
      </c>
      <c r="N16" s="26">
        <v>5</v>
      </c>
      <c r="O16" s="26">
        <v>3</v>
      </c>
      <c r="P16" s="28">
        <v>110</v>
      </c>
      <c r="Q16" s="26">
        <v>2</v>
      </c>
      <c r="R16" s="79">
        <v>1</v>
      </c>
      <c r="S16" s="79"/>
      <c r="T16" s="79"/>
    </row>
    <row r="17" spans="1:20" s="104" customFormat="1" ht="15.75">
      <c r="A17" s="145" t="s">
        <v>11</v>
      </c>
      <c r="B17" s="121" t="s">
        <v>205</v>
      </c>
      <c r="C17" s="258">
        <v>472</v>
      </c>
      <c r="D17" s="120"/>
      <c r="E17" s="120">
        <v>407</v>
      </c>
      <c r="F17" s="120"/>
      <c r="G17" s="120">
        <v>389</v>
      </c>
      <c r="H17" s="120">
        <v>400</v>
      </c>
      <c r="I17" s="258">
        <v>435</v>
      </c>
      <c r="J17" s="258">
        <v>449</v>
      </c>
      <c r="K17" s="120"/>
      <c r="L17" s="157"/>
      <c r="M17" s="154">
        <f aca="true" t="shared" si="1" ref="M17:M22">SUM(C17:L17)</f>
        <v>2552</v>
      </c>
      <c r="N17" s="100">
        <v>3</v>
      </c>
      <c r="O17" s="100">
        <v>5</v>
      </c>
      <c r="P17" s="100">
        <v>-11</v>
      </c>
      <c r="Q17" s="100">
        <v>0</v>
      </c>
      <c r="R17" s="194"/>
      <c r="S17" s="194"/>
      <c r="T17" s="194">
        <v>1</v>
      </c>
    </row>
    <row r="18" spans="1:20" s="30" customFormat="1" ht="15.75">
      <c r="A18" s="110" t="s">
        <v>12</v>
      </c>
      <c r="B18" s="152" t="s">
        <v>21</v>
      </c>
      <c r="C18" s="152"/>
      <c r="D18" s="138"/>
      <c r="E18" s="138">
        <v>402</v>
      </c>
      <c r="F18" s="265">
        <v>434</v>
      </c>
      <c r="G18" s="138"/>
      <c r="H18" s="265">
        <v>461</v>
      </c>
      <c r="I18" s="138">
        <v>399</v>
      </c>
      <c r="J18" s="265">
        <v>415</v>
      </c>
      <c r="K18" s="138">
        <v>387</v>
      </c>
      <c r="L18" s="159"/>
      <c r="M18" s="28">
        <f t="shared" si="1"/>
        <v>2498</v>
      </c>
      <c r="N18" s="26">
        <v>3</v>
      </c>
      <c r="O18" s="26">
        <v>5</v>
      </c>
      <c r="P18" s="28">
        <v>-7</v>
      </c>
      <c r="Q18" s="26">
        <v>0</v>
      </c>
      <c r="R18" s="79"/>
      <c r="S18" s="79"/>
      <c r="T18" s="79">
        <v>1</v>
      </c>
    </row>
    <row r="19" spans="1:20" s="23" customFormat="1" ht="15.75">
      <c r="A19" s="145" t="s">
        <v>13</v>
      </c>
      <c r="B19" s="153" t="s">
        <v>26</v>
      </c>
      <c r="C19" s="257">
        <v>480</v>
      </c>
      <c r="D19" s="257">
        <v>468</v>
      </c>
      <c r="E19" s="146"/>
      <c r="F19" s="146">
        <v>414</v>
      </c>
      <c r="G19" s="146"/>
      <c r="H19" s="257">
        <v>444</v>
      </c>
      <c r="I19" s="146">
        <v>411</v>
      </c>
      <c r="J19" s="146">
        <v>422</v>
      </c>
      <c r="K19" s="146"/>
      <c r="L19" s="165"/>
      <c r="M19" s="21">
        <f t="shared" si="1"/>
        <v>2639</v>
      </c>
      <c r="N19" s="19">
        <v>5</v>
      </c>
      <c r="O19" s="19">
        <v>3</v>
      </c>
      <c r="P19" s="21">
        <v>117</v>
      </c>
      <c r="Q19" s="19">
        <v>2</v>
      </c>
      <c r="R19" s="78">
        <v>1</v>
      </c>
      <c r="S19" s="78"/>
      <c r="T19" s="78"/>
    </row>
    <row r="20" spans="1:20" s="30" customFormat="1" ht="15.75">
      <c r="A20" s="110" t="s">
        <v>14</v>
      </c>
      <c r="B20" s="57" t="s">
        <v>208</v>
      </c>
      <c r="C20" s="243">
        <v>505</v>
      </c>
      <c r="D20" s="243">
        <v>488</v>
      </c>
      <c r="E20" s="43"/>
      <c r="F20" s="43">
        <v>420</v>
      </c>
      <c r="G20" s="43">
        <v>382</v>
      </c>
      <c r="H20" s="243">
        <v>440</v>
      </c>
      <c r="I20" s="43"/>
      <c r="J20" s="43">
        <v>410</v>
      </c>
      <c r="K20" s="43"/>
      <c r="L20" s="39"/>
      <c r="M20" s="28">
        <f t="shared" si="1"/>
        <v>2645</v>
      </c>
      <c r="N20" s="26">
        <v>5</v>
      </c>
      <c r="O20" s="26">
        <v>3</v>
      </c>
      <c r="P20" s="28">
        <f>M20-2543</f>
        <v>102</v>
      </c>
      <c r="Q20" s="26">
        <v>2</v>
      </c>
      <c r="R20" s="79">
        <v>1</v>
      </c>
      <c r="S20" s="79"/>
      <c r="T20" s="79"/>
    </row>
    <row r="21" spans="1:20" s="104" customFormat="1" ht="15.75">
      <c r="A21" s="19" t="s">
        <v>261</v>
      </c>
      <c r="B21" s="121" t="s">
        <v>206</v>
      </c>
      <c r="C21" s="121"/>
      <c r="D21" s="120"/>
      <c r="E21" s="258">
        <v>436</v>
      </c>
      <c r="F21" s="120">
        <v>406</v>
      </c>
      <c r="G21" s="258">
        <v>432</v>
      </c>
      <c r="H21" s="258">
        <v>413</v>
      </c>
      <c r="I21" s="258">
        <v>434</v>
      </c>
      <c r="J21" s="120">
        <v>402</v>
      </c>
      <c r="K21" s="120"/>
      <c r="L21" s="157"/>
      <c r="M21" s="154">
        <f t="shared" si="1"/>
        <v>2523</v>
      </c>
      <c r="N21" s="100">
        <v>6</v>
      </c>
      <c r="O21" s="100">
        <v>2</v>
      </c>
      <c r="P21" s="154">
        <v>197</v>
      </c>
      <c r="Q21" s="100">
        <v>2</v>
      </c>
      <c r="R21" s="194">
        <v>1</v>
      </c>
      <c r="S21" s="194"/>
      <c r="T21" s="194"/>
    </row>
    <row r="22" spans="1:20" s="30" customFormat="1" ht="16.5" thickBot="1">
      <c r="A22" s="110" t="s">
        <v>262</v>
      </c>
      <c r="B22" s="152" t="s">
        <v>20</v>
      </c>
      <c r="C22" s="287">
        <v>451</v>
      </c>
      <c r="D22" s="177"/>
      <c r="E22" s="177">
        <v>409</v>
      </c>
      <c r="F22" s="287">
        <v>435</v>
      </c>
      <c r="G22" s="177"/>
      <c r="H22" s="287">
        <v>420</v>
      </c>
      <c r="I22" s="177">
        <v>399</v>
      </c>
      <c r="J22" s="177"/>
      <c r="K22" s="177">
        <v>380</v>
      </c>
      <c r="L22" s="178"/>
      <c r="M22" s="41">
        <f t="shared" si="1"/>
        <v>2494</v>
      </c>
      <c r="N22" s="38">
        <v>3</v>
      </c>
      <c r="O22" s="38">
        <v>5</v>
      </c>
      <c r="P22" s="41">
        <f>M22-2608</f>
        <v>-114</v>
      </c>
      <c r="Q22" s="38">
        <v>0</v>
      </c>
      <c r="R22" s="80"/>
      <c r="S22" s="80"/>
      <c r="T22" s="80">
        <v>1</v>
      </c>
    </row>
    <row r="23" spans="3:20" ht="16.5" thickTop="1">
      <c r="C23" s="6">
        <f>SUM(C6:C22)</f>
        <v>3777</v>
      </c>
      <c r="D23" s="6">
        <f>SUM(D6:D22)</f>
        <v>2348</v>
      </c>
      <c r="E23" s="6">
        <f>SUM(E6:E22)</f>
        <v>4156</v>
      </c>
      <c r="F23" s="6">
        <f>SUM(F6:F22)</f>
        <v>5819</v>
      </c>
      <c r="G23" s="6">
        <f>SUM(G6:G22)</f>
        <v>2876</v>
      </c>
      <c r="H23" s="6">
        <f>SUM(H7:H22)</f>
        <v>6064</v>
      </c>
      <c r="I23" s="6">
        <f>SUM(I6:I22)</f>
        <v>5992</v>
      </c>
      <c r="J23" s="6">
        <f>SUM(J6:J22)</f>
        <v>5922</v>
      </c>
      <c r="K23" s="6">
        <f>SUM(K6:K22)</f>
        <v>3654</v>
      </c>
      <c r="L23" s="6">
        <f>SUM(L6:L22)</f>
        <v>0</v>
      </c>
      <c r="R23" s="81">
        <f>SUM(R6:R22)</f>
        <v>11</v>
      </c>
      <c r="S23" s="81">
        <f>SUM(S6:S22)</f>
        <v>0</v>
      </c>
      <c r="T23" s="81">
        <f>SUM(T6:T22)</f>
        <v>5</v>
      </c>
    </row>
    <row r="24" spans="2:18" ht="15.75">
      <c r="B24" s="1" t="s">
        <v>183</v>
      </c>
      <c r="C24" s="6">
        <f>COUNT(C6:C22)</f>
        <v>8</v>
      </c>
      <c r="D24" s="6">
        <f>COUNT(D6:D22)</f>
        <v>5</v>
      </c>
      <c r="E24" s="6">
        <f>COUNT(E6:E22)</f>
        <v>10</v>
      </c>
      <c r="F24" s="6">
        <f>COUNT(F6:F22)</f>
        <v>14</v>
      </c>
      <c r="G24" s="6">
        <f>COUNT(G6:G22)</f>
        <v>7</v>
      </c>
      <c r="H24" s="6">
        <f>COUNT(H7:H22)</f>
        <v>14</v>
      </c>
      <c r="I24" s="6">
        <f>COUNT(I6:I22)</f>
        <v>14</v>
      </c>
      <c r="J24" s="6">
        <f>COUNT(J6:J22)</f>
        <v>14</v>
      </c>
      <c r="K24" s="6">
        <f>COUNT(K6:K22)</f>
        <v>9</v>
      </c>
      <c r="L24" s="6">
        <f>COUNT(L6:L22)</f>
        <v>0</v>
      </c>
      <c r="R24"/>
    </row>
    <row r="25" spans="2:21" ht="35.25" customHeight="1">
      <c r="B25" s="11" t="s">
        <v>127</v>
      </c>
      <c r="C25" s="16">
        <f>AVERAGE(C6:C22)</f>
        <v>472.125</v>
      </c>
      <c r="D25" s="16">
        <f>AVERAGE(D6:D22)</f>
        <v>469.6</v>
      </c>
      <c r="E25" s="16">
        <f>AVERAGE(E6:E22)</f>
        <v>415.6</v>
      </c>
      <c r="F25" s="16">
        <f aca="true" t="shared" si="2" ref="F25:K25">AVERAGE(F6:F22)</f>
        <v>415.64285714285717</v>
      </c>
      <c r="G25" s="16">
        <f>AVERAGE(G6:G22)</f>
        <v>410.85714285714283</v>
      </c>
      <c r="H25" s="16">
        <f>AVERAGE(H7:H22)</f>
        <v>433.14285714285717</v>
      </c>
      <c r="I25" s="16">
        <f t="shared" si="2"/>
        <v>428</v>
      </c>
      <c r="J25" s="16">
        <f t="shared" si="2"/>
        <v>423</v>
      </c>
      <c r="K25" s="16">
        <f t="shared" si="2"/>
        <v>406</v>
      </c>
      <c r="L25" s="16"/>
      <c r="M25" s="16"/>
      <c r="N25" s="3" t="s">
        <v>30</v>
      </c>
      <c r="O25" s="371" t="s">
        <v>115</v>
      </c>
      <c r="P25" s="371"/>
      <c r="Q25" s="3" t="s">
        <v>31</v>
      </c>
      <c r="R25" s="10" t="s">
        <v>116</v>
      </c>
      <c r="T25" s="75" t="s">
        <v>126</v>
      </c>
      <c r="U25" s="74" t="s">
        <v>223</v>
      </c>
    </row>
    <row r="26" spans="14:21" ht="15.75">
      <c r="N26" s="6">
        <f>SUM(M6:M22)</f>
        <v>41022</v>
      </c>
      <c r="O26" s="1">
        <f>SUM(N6:N22)</f>
        <v>73</v>
      </c>
      <c r="P26" s="1">
        <f>SUM(O6:O22)</f>
        <v>55</v>
      </c>
      <c r="Q26" s="1">
        <f>SUM(P6:P22)</f>
        <v>708</v>
      </c>
      <c r="R26" s="1">
        <f>SUM(Q6:Q22)</f>
        <v>22</v>
      </c>
      <c r="T26" s="2">
        <f>O26-P26</f>
        <v>18</v>
      </c>
      <c r="U26" s="2">
        <f>SUM(R23:T23)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21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226"/>
      <c r="T28" s="226"/>
      <c r="U28" s="226"/>
    </row>
    <row r="29" spans="1:6" ht="15.75">
      <c r="A29" s="51"/>
      <c r="B29" s="49"/>
      <c r="C29" s="49"/>
      <c r="D29" s="49"/>
      <c r="E29" s="50"/>
      <c r="F29" s="49"/>
    </row>
    <row r="30" spans="2:20" ht="36.75" customHeight="1" thickBot="1">
      <c r="B30" s="3" t="s">
        <v>25</v>
      </c>
      <c r="C30" s="8" t="s">
        <v>37</v>
      </c>
      <c r="D30" s="8" t="s">
        <v>38</v>
      </c>
      <c r="E30" s="8" t="s">
        <v>65</v>
      </c>
      <c r="F30" s="8" t="s">
        <v>66</v>
      </c>
      <c r="G30" s="8" t="s">
        <v>67</v>
      </c>
      <c r="H30" s="8" t="s">
        <v>96</v>
      </c>
      <c r="I30" s="8" t="s">
        <v>35</v>
      </c>
      <c r="J30" s="8" t="s">
        <v>195</v>
      </c>
      <c r="K30" s="8" t="s">
        <v>33</v>
      </c>
      <c r="L30" s="8" t="s">
        <v>268</v>
      </c>
      <c r="M30" s="3" t="s">
        <v>30</v>
      </c>
      <c r="N30" s="3" t="s">
        <v>24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18" s="104" customFormat="1" ht="15.75">
      <c r="A31" s="19" t="s">
        <v>153</v>
      </c>
      <c r="B31" s="137" t="s">
        <v>260</v>
      </c>
      <c r="C31" s="244">
        <v>459</v>
      </c>
      <c r="D31" s="244">
        <v>446</v>
      </c>
      <c r="E31" s="42"/>
      <c r="F31" s="244">
        <v>437</v>
      </c>
      <c r="G31" s="42"/>
      <c r="H31" s="42"/>
      <c r="I31" s="244">
        <v>438</v>
      </c>
      <c r="J31" s="42">
        <v>415</v>
      </c>
      <c r="K31" s="42">
        <v>417</v>
      </c>
      <c r="L31" s="42"/>
      <c r="M31" s="102">
        <f>SUM(C31:L31)</f>
        <v>2612</v>
      </c>
      <c r="N31" s="100">
        <v>6</v>
      </c>
      <c r="O31" s="100">
        <v>2</v>
      </c>
      <c r="P31" s="100">
        <v>72</v>
      </c>
      <c r="Q31" s="100">
        <v>2</v>
      </c>
      <c r="R31" s="104">
        <v>1</v>
      </c>
    </row>
    <row r="32" spans="1:18" s="30" customFormat="1" ht="15.75">
      <c r="A32" s="110" t="s">
        <v>154</v>
      </c>
      <c r="B32" s="123" t="s">
        <v>209</v>
      </c>
      <c r="C32" s="118"/>
      <c r="D32" s="255">
        <v>456</v>
      </c>
      <c r="E32" s="118"/>
      <c r="F32" s="118">
        <v>370</v>
      </c>
      <c r="G32" s="255">
        <v>411</v>
      </c>
      <c r="H32" s="118">
        <v>383</v>
      </c>
      <c r="I32" s="255">
        <v>392</v>
      </c>
      <c r="J32" s="118">
        <v>376</v>
      </c>
      <c r="K32" s="118"/>
      <c r="L32" s="118"/>
      <c r="M32" s="234">
        <f aca="true" t="shared" si="3" ref="M32:M47">SUM(C32:L32)</f>
        <v>2388</v>
      </c>
      <c r="N32" s="26">
        <v>5</v>
      </c>
      <c r="O32" s="26">
        <v>3</v>
      </c>
      <c r="P32" s="26">
        <f>M32-2334</f>
        <v>54</v>
      </c>
      <c r="Q32" s="26">
        <v>2</v>
      </c>
      <c r="R32" s="30">
        <v>1</v>
      </c>
    </row>
    <row r="33" spans="1:18" s="148" customFormat="1" ht="15.75">
      <c r="A33" s="100" t="s">
        <v>155</v>
      </c>
      <c r="B33" s="121" t="s">
        <v>16</v>
      </c>
      <c r="C33" s="258">
        <v>469</v>
      </c>
      <c r="D33" s="258">
        <v>464</v>
      </c>
      <c r="E33" s="120"/>
      <c r="F33" s="318">
        <v>405</v>
      </c>
      <c r="G33" s="120"/>
      <c r="H33" s="258">
        <v>448</v>
      </c>
      <c r="I33" s="120">
        <v>424</v>
      </c>
      <c r="J33" s="120">
        <v>393</v>
      </c>
      <c r="K33" s="120"/>
      <c r="L33" s="120"/>
      <c r="M33" s="147">
        <f t="shared" si="3"/>
        <v>2603</v>
      </c>
      <c r="N33" s="145">
        <v>5</v>
      </c>
      <c r="O33" s="145">
        <v>3</v>
      </c>
      <c r="P33" s="145">
        <v>25</v>
      </c>
      <c r="Q33" s="145">
        <v>2</v>
      </c>
      <c r="R33" s="148">
        <v>1</v>
      </c>
    </row>
    <row r="34" spans="1:18" s="30" customFormat="1" ht="15.75">
      <c r="A34" s="110" t="s">
        <v>156</v>
      </c>
      <c r="B34" s="123" t="s">
        <v>205</v>
      </c>
      <c r="C34" s="118">
        <v>409</v>
      </c>
      <c r="D34" s="255">
        <v>455</v>
      </c>
      <c r="E34" s="118"/>
      <c r="F34" s="255">
        <v>430</v>
      </c>
      <c r="G34" s="118"/>
      <c r="H34" s="255">
        <v>425</v>
      </c>
      <c r="I34" s="255">
        <v>418</v>
      </c>
      <c r="J34" s="118"/>
      <c r="K34" s="118">
        <v>393</v>
      </c>
      <c r="L34" s="118"/>
      <c r="M34" s="234">
        <f t="shared" si="3"/>
        <v>2530</v>
      </c>
      <c r="N34" s="26">
        <v>6</v>
      </c>
      <c r="O34" s="26">
        <v>2</v>
      </c>
      <c r="P34" s="26">
        <v>21</v>
      </c>
      <c r="Q34" s="26">
        <v>2</v>
      </c>
      <c r="R34" s="30">
        <v>1</v>
      </c>
    </row>
    <row r="35" spans="1:18" s="23" customFormat="1" ht="15.75">
      <c r="A35" s="145" t="s">
        <v>157</v>
      </c>
      <c r="B35" s="153" t="s">
        <v>21</v>
      </c>
      <c r="C35" s="257">
        <v>449</v>
      </c>
      <c r="D35" s="146"/>
      <c r="E35" s="146">
        <v>414</v>
      </c>
      <c r="F35" s="146"/>
      <c r="G35" s="146"/>
      <c r="H35" s="257">
        <v>441</v>
      </c>
      <c r="I35" s="146">
        <v>436</v>
      </c>
      <c r="J35" s="257">
        <v>449</v>
      </c>
      <c r="K35" s="257">
        <v>441</v>
      </c>
      <c r="L35" s="146"/>
      <c r="M35" s="69">
        <f t="shared" si="3"/>
        <v>2630</v>
      </c>
      <c r="N35" s="19">
        <v>6</v>
      </c>
      <c r="O35" s="19">
        <v>2</v>
      </c>
      <c r="P35" s="19">
        <v>98</v>
      </c>
      <c r="Q35" s="19">
        <v>2</v>
      </c>
      <c r="R35" s="23">
        <v>1</v>
      </c>
    </row>
    <row r="36" spans="1:18" s="30" customFormat="1" ht="15.75">
      <c r="A36" s="110" t="s">
        <v>158</v>
      </c>
      <c r="B36" s="123" t="s">
        <v>26</v>
      </c>
      <c r="C36" s="255">
        <v>467</v>
      </c>
      <c r="D36" s="255">
        <v>441</v>
      </c>
      <c r="E36" s="118"/>
      <c r="F36" s="255">
        <v>441</v>
      </c>
      <c r="G36" s="118"/>
      <c r="H36" s="118">
        <v>431</v>
      </c>
      <c r="I36" s="118">
        <v>413</v>
      </c>
      <c r="J36" s="255">
        <v>473</v>
      </c>
      <c r="K36" s="118"/>
      <c r="L36" s="118"/>
      <c r="M36" s="234">
        <f t="shared" si="3"/>
        <v>2666</v>
      </c>
      <c r="N36" s="26">
        <v>6</v>
      </c>
      <c r="O36" s="26">
        <v>2</v>
      </c>
      <c r="P36" s="26">
        <v>92</v>
      </c>
      <c r="Q36" s="26">
        <v>2</v>
      </c>
      <c r="R36" s="30">
        <v>1</v>
      </c>
    </row>
    <row r="37" spans="1:18" s="104" customFormat="1" ht="15.75">
      <c r="A37" s="19" t="s">
        <v>159</v>
      </c>
      <c r="B37" s="137" t="s">
        <v>208</v>
      </c>
      <c r="C37" s="244">
        <v>460</v>
      </c>
      <c r="D37" s="244">
        <v>453</v>
      </c>
      <c r="E37" s="42"/>
      <c r="F37" s="244">
        <v>428</v>
      </c>
      <c r="G37" s="42"/>
      <c r="H37" s="244">
        <v>446</v>
      </c>
      <c r="I37" s="244">
        <v>432</v>
      </c>
      <c r="J37" s="42">
        <v>411</v>
      </c>
      <c r="K37" s="42"/>
      <c r="L37" s="42"/>
      <c r="M37" s="102">
        <f t="shared" si="3"/>
        <v>2630</v>
      </c>
      <c r="N37" s="100">
        <v>7</v>
      </c>
      <c r="O37" s="100">
        <v>1</v>
      </c>
      <c r="P37" s="100">
        <f>M37-2458</f>
        <v>172</v>
      </c>
      <c r="Q37" s="100">
        <v>2</v>
      </c>
      <c r="R37" s="104">
        <v>1</v>
      </c>
    </row>
    <row r="38" spans="1:18" s="30" customFormat="1" ht="15.75">
      <c r="A38" s="110" t="s">
        <v>160</v>
      </c>
      <c r="B38" s="123" t="s">
        <v>206</v>
      </c>
      <c r="C38" s="118"/>
      <c r="D38" s="118"/>
      <c r="E38" s="118">
        <v>414</v>
      </c>
      <c r="F38" s="255">
        <v>450</v>
      </c>
      <c r="G38" s="255">
        <v>445</v>
      </c>
      <c r="H38" s="118"/>
      <c r="I38" s="118">
        <v>418</v>
      </c>
      <c r="J38" s="255">
        <v>455</v>
      </c>
      <c r="K38" s="255">
        <v>439</v>
      </c>
      <c r="L38" s="118"/>
      <c r="M38" s="234">
        <f t="shared" si="3"/>
        <v>2621</v>
      </c>
      <c r="N38" s="26">
        <v>6</v>
      </c>
      <c r="O38" s="26">
        <v>2</v>
      </c>
      <c r="P38" s="26">
        <f>M38-2517</f>
        <v>104</v>
      </c>
      <c r="Q38" s="26">
        <v>2</v>
      </c>
      <c r="R38" s="30">
        <v>1</v>
      </c>
    </row>
    <row r="39" spans="1:18" s="148" customFormat="1" ht="15.75">
      <c r="A39" s="100" t="s">
        <v>161</v>
      </c>
      <c r="B39" s="121" t="s">
        <v>20</v>
      </c>
      <c r="C39" s="120"/>
      <c r="D39" s="258">
        <v>460</v>
      </c>
      <c r="E39" s="120">
        <v>405</v>
      </c>
      <c r="F39" s="258">
        <v>422</v>
      </c>
      <c r="G39" s="120"/>
      <c r="H39" s="258">
        <v>424</v>
      </c>
      <c r="I39" s="258">
        <v>457</v>
      </c>
      <c r="J39" s="120">
        <v>407</v>
      </c>
      <c r="K39" s="120"/>
      <c r="L39" s="120"/>
      <c r="M39" s="147">
        <f t="shared" si="3"/>
        <v>2575</v>
      </c>
      <c r="N39" s="145">
        <v>6</v>
      </c>
      <c r="O39" s="145">
        <v>2</v>
      </c>
      <c r="P39" s="145">
        <f>M39-2457</f>
        <v>118</v>
      </c>
      <c r="Q39" s="145">
        <v>2</v>
      </c>
      <c r="R39" s="148">
        <v>1</v>
      </c>
    </row>
    <row r="40" spans="1:18" s="30" customFormat="1" ht="15.75">
      <c r="A40" s="110" t="s">
        <v>162</v>
      </c>
      <c r="B40" s="123" t="s">
        <v>22</v>
      </c>
      <c r="C40" s="118"/>
      <c r="D40" s="118"/>
      <c r="E40" s="118"/>
      <c r="F40" s="118">
        <v>400</v>
      </c>
      <c r="G40" s="255">
        <v>414</v>
      </c>
      <c r="H40" s="118"/>
      <c r="I40" s="118">
        <v>402</v>
      </c>
      <c r="J40" s="255">
        <v>449</v>
      </c>
      <c r="K40" s="118">
        <v>412</v>
      </c>
      <c r="L40" s="255">
        <v>416</v>
      </c>
      <c r="M40" s="234">
        <f t="shared" si="3"/>
        <v>2493</v>
      </c>
      <c r="N40" s="26">
        <v>5</v>
      </c>
      <c r="O40" s="26">
        <v>3</v>
      </c>
      <c r="P40" s="26">
        <f>M40-2478</f>
        <v>15</v>
      </c>
      <c r="Q40" s="26">
        <v>2</v>
      </c>
      <c r="R40" s="30">
        <v>1</v>
      </c>
    </row>
    <row r="41" spans="1:18" s="23" customFormat="1" ht="15.75">
      <c r="A41" s="145" t="s">
        <v>163</v>
      </c>
      <c r="B41" s="153" t="s">
        <v>196</v>
      </c>
      <c r="C41" s="257">
        <v>471</v>
      </c>
      <c r="D41" s="146">
        <v>213</v>
      </c>
      <c r="E41" s="257">
        <v>207</v>
      </c>
      <c r="F41" s="146"/>
      <c r="G41" s="146">
        <v>391</v>
      </c>
      <c r="H41" s="257">
        <v>425</v>
      </c>
      <c r="I41" s="146">
        <f>392-D41</f>
        <v>179</v>
      </c>
      <c r="J41" s="146"/>
      <c r="K41" s="257">
        <v>420</v>
      </c>
      <c r="L41" s="257">
        <v>222</v>
      </c>
      <c r="M41" s="69">
        <f>SUM(C41:L41)</f>
        <v>2528</v>
      </c>
      <c r="N41" s="19">
        <v>6</v>
      </c>
      <c r="O41" s="19">
        <v>2</v>
      </c>
      <c r="P41" s="19">
        <f>M41-2437</f>
        <v>91</v>
      </c>
      <c r="Q41" s="19">
        <v>2</v>
      </c>
      <c r="R41" s="23">
        <v>1</v>
      </c>
    </row>
    <row r="42" spans="1:18" s="30" customFormat="1" ht="15.75">
      <c r="A42" s="110" t="s">
        <v>164</v>
      </c>
      <c r="B42" s="123" t="s">
        <v>19</v>
      </c>
      <c r="C42" s="255">
        <v>435</v>
      </c>
      <c r="D42" s="255">
        <v>486</v>
      </c>
      <c r="E42" s="118">
        <v>396</v>
      </c>
      <c r="F42" s="118"/>
      <c r="G42" s="255">
        <v>444</v>
      </c>
      <c r="H42" s="255">
        <v>461</v>
      </c>
      <c r="I42" s="118"/>
      <c r="J42" s="118">
        <v>414</v>
      </c>
      <c r="K42" s="118"/>
      <c r="L42" s="118"/>
      <c r="M42" s="234">
        <f t="shared" si="3"/>
        <v>2636</v>
      </c>
      <c r="N42" s="26">
        <v>6</v>
      </c>
      <c r="O42" s="26">
        <v>2</v>
      </c>
      <c r="P42" s="26">
        <v>107</v>
      </c>
      <c r="Q42" s="26">
        <v>2</v>
      </c>
      <c r="R42" s="30">
        <v>1</v>
      </c>
    </row>
    <row r="43" spans="1:17" s="299" customFormat="1" ht="15.75">
      <c r="A43" s="293" t="s">
        <v>165</v>
      </c>
      <c r="B43" s="294" t="s">
        <v>255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297">
        <f t="shared" si="3"/>
        <v>0</v>
      </c>
      <c r="N43" s="293"/>
      <c r="O43" s="293"/>
      <c r="P43" s="293"/>
      <c r="Q43" s="293"/>
    </row>
    <row r="44" spans="1:18" s="23" customFormat="1" ht="15.75">
      <c r="A44" s="145" t="s">
        <v>265</v>
      </c>
      <c r="B44" s="153" t="s">
        <v>17</v>
      </c>
      <c r="C44" s="146"/>
      <c r="D44" s="257">
        <v>460</v>
      </c>
      <c r="E44" s="146"/>
      <c r="F44" s="146"/>
      <c r="G44" s="146">
        <v>410</v>
      </c>
      <c r="H44" s="257">
        <v>424</v>
      </c>
      <c r="I44" s="257">
        <v>440</v>
      </c>
      <c r="J44" s="146">
        <v>399</v>
      </c>
      <c r="K44" s="146">
        <v>412</v>
      </c>
      <c r="L44" s="146"/>
      <c r="M44" s="69">
        <f t="shared" si="3"/>
        <v>2545</v>
      </c>
      <c r="N44" s="19">
        <v>5</v>
      </c>
      <c r="O44" s="19">
        <v>3</v>
      </c>
      <c r="P44" s="19">
        <v>4</v>
      </c>
      <c r="Q44" s="19">
        <v>2</v>
      </c>
      <c r="R44" s="23">
        <v>1</v>
      </c>
    </row>
    <row r="45" spans="1:18" s="30" customFormat="1" ht="15.75">
      <c r="A45" s="110" t="s">
        <v>266</v>
      </c>
      <c r="B45" s="123" t="s">
        <v>15</v>
      </c>
      <c r="C45" s="118"/>
      <c r="D45" s="255">
        <v>497</v>
      </c>
      <c r="E45" s="118">
        <v>421</v>
      </c>
      <c r="F45" s="118"/>
      <c r="G45" s="118">
        <v>406</v>
      </c>
      <c r="H45" s="118">
        <v>387</v>
      </c>
      <c r="I45" s="255">
        <v>462</v>
      </c>
      <c r="J45" s="255">
        <v>434</v>
      </c>
      <c r="K45" s="118"/>
      <c r="L45" s="118"/>
      <c r="M45" s="234">
        <f t="shared" si="3"/>
        <v>2607</v>
      </c>
      <c r="N45" s="26">
        <v>5</v>
      </c>
      <c r="O45" s="26">
        <v>3</v>
      </c>
      <c r="P45" s="26">
        <f>M45-2579</f>
        <v>28</v>
      </c>
      <c r="Q45" s="26">
        <v>2</v>
      </c>
      <c r="R45" s="30">
        <v>1</v>
      </c>
    </row>
    <row r="46" spans="1:18" s="104" customFormat="1" ht="15.75">
      <c r="A46" s="19" t="s">
        <v>303</v>
      </c>
      <c r="B46" s="137" t="s">
        <v>263</v>
      </c>
      <c r="C46" s="42"/>
      <c r="D46" s="345">
        <v>458</v>
      </c>
      <c r="E46" s="42">
        <v>395</v>
      </c>
      <c r="F46" s="345">
        <v>207</v>
      </c>
      <c r="G46" s="42"/>
      <c r="H46" s="345">
        <v>453</v>
      </c>
      <c r="I46" s="345">
        <v>445</v>
      </c>
      <c r="J46" s="345">
        <v>426</v>
      </c>
      <c r="K46" s="42"/>
      <c r="L46" s="345">
        <v>225</v>
      </c>
      <c r="M46" s="102">
        <f t="shared" si="3"/>
        <v>2609</v>
      </c>
      <c r="N46" s="100">
        <v>7</v>
      </c>
      <c r="O46" s="100">
        <v>1</v>
      </c>
      <c r="P46" s="100">
        <v>145</v>
      </c>
      <c r="Q46" s="100">
        <v>2</v>
      </c>
      <c r="R46" s="104">
        <v>1</v>
      </c>
    </row>
    <row r="47" spans="1:20" s="30" customFormat="1" ht="16.5" thickBot="1">
      <c r="A47" s="110" t="s">
        <v>304</v>
      </c>
      <c r="B47" s="123" t="s">
        <v>23</v>
      </c>
      <c r="C47" s="119"/>
      <c r="D47" s="119"/>
      <c r="E47" s="367">
        <v>451</v>
      </c>
      <c r="F47" s="119">
        <v>415</v>
      </c>
      <c r="G47" s="119"/>
      <c r="H47" s="119"/>
      <c r="I47" s="119">
        <v>418</v>
      </c>
      <c r="J47" s="367">
        <v>463</v>
      </c>
      <c r="K47" s="119">
        <v>426</v>
      </c>
      <c r="L47" s="119">
        <v>378</v>
      </c>
      <c r="M47" s="234">
        <f t="shared" si="3"/>
        <v>2551</v>
      </c>
      <c r="N47" s="38">
        <v>2</v>
      </c>
      <c r="O47" s="38">
        <v>6</v>
      </c>
      <c r="P47" s="38">
        <v>-31</v>
      </c>
      <c r="Q47" s="38">
        <v>0</v>
      </c>
      <c r="R47" s="303"/>
      <c r="S47" s="303"/>
      <c r="T47" s="303">
        <v>1</v>
      </c>
    </row>
    <row r="48" spans="3:20" ht="16.5" thickTop="1">
      <c r="C48" s="7">
        <f>SUM(C31:C47)</f>
        <v>3619</v>
      </c>
      <c r="D48" s="7">
        <f>SUM(D31:D40)+SUM(D42:D47)</f>
        <v>5076</v>
      </c>
      <c r="E48" s="7">
        <f>SUM(E31:E40)+SUM(E42:E47)</f>
        <v>2896</v>
      </c>
      <c r="F48" s="7">
        <f>SUM(F31:F45)+F47</f>
        <v>4198</v>
      </c>
      <c r="G48" s="7">
        <f>SUM(G31:G47)</f>
        <v>2921</v>
      </c>
      <c r="H48" s="7">
        <f>SUM(H31:H47)</f>
        <v>5148</v>
      </c>
      <c r="I48" s="7">
        <f>SUM(I31:I40)+SUM(I42:I47)</f>
        <v>5995</v>
      </c>
      <c r="J48" s="7">
        <f>SUM(J31:J47)</f>
        <v>5964</v>
      </c>
      <c r="K48" s="7">
        <f>SUM(K31:K47)</f>
        <v>3360</v>
      </c>
      <c r="L48" s="7">
        <f>SUM(L31:L40)+SUM(L47)</f>
        <v>794</v>
      </c>
      <c r="N48" s="1">
        <f>SUM(N31:N47)</f>
        <v>89</v>
      </c>
      <c r="O48" s="1">
        <f>SUM(O31:O47)</f>
        <v>39</v>
      </c>
      <c r="P48" s="1">
        <f>SUM(P31:P47)</f>
        <v>1115</v>
      </c>
      <c r="Q48" s="1">
        <f>SUM(Q31:Q47)</f>
        <v>30</v>
      </c>
      <c r="R48" s="1">
        <f>SUM(R31:R47)+R23</f>
        <v>26</v>
      </c>
      <c r="S48" s="1">
        <f>SUM(S31:S47)+S23</f>
        <v>0</v>
      </c>
      <c r="T48" s="1">
        <f>SUM(T31:T47)+T23</f>
        <v>6</v>
      </c>
    </row>
    <row r="49" spans="2:12" ht="31.5">
      <c r="B49" s="67" t="s">
        <v>248</v>
      </c>
      <c r="C49" s="1">
        <f>COUNT(C31:C47)</f>
        <v>8</v>
      </c>
      <c r="D49" s="1">
        <f>COUNT(D31:D40)+COUNT(D42:D47)</f>
        <v>11</v>
      </c>
      <c r="E49" s="1">
        <f>COUNT(E31:E40)+COUNT(E42:E47)</f>
        <v>7</v>
      </c>
      <c r="F49" s="1">
        <f>COUNT(F31:F45)+COUNT(F47)</f>
        <v>10</v>
      </c>
      <c r="G49" s="1">
        <f>COUNT(G31:G47)</f>
        <v>7</v>
      </c>
      <c r="H49" s="1">
        <f>COUNT(H31:H47)</f>
        <v>12</v>
      </c>
      <c r="I49" s="1">
        <f>COUNT(I31:I40)+COUNT(I42:I47)</f>
        <v>14</v>
      </c>
      <c r="J49" s="1">
        <f>COUNT(J31:J47)</f>
        <v>14</v>
      </c>
      <c r="K49" s="1">
        <f>COUNT(K31:K47)</f>
        <v>8</v>
      </c>
      <c r="L49" s="1">
        <f>COUNT(L31:L40)+COUNT(L47)</f>
        <v>2</v>
      </c>
    </row>
    <row r="50" spans="2:21" ht="31.5">
      <c r="B50" s="10" t="s">
        <v>249</v>
      </c>
      <c r="C50" s="16">
        <f>C48/C49</f>
        <v>452.375</v>
      </c>
      <c r="D50" s="16">
        <f aca="true" t="shared" si="4" ref="D50:L50">D48/D49</f>
        <v>461.45454545454544</v>
      </c>
      <c r="E50" s="16">
        <f t="shared" si="4"/>
        <v>413.7142857142857</v>
      </c>
      <c r="F50" s="16">
        <f t="shared" si="4"/>
        <v>419.8</v>
      </c>
      <c r="G50" s="16">
        <f>G48/G49</f>
        <v>417.2857142857143</v>
      </c>
      <c r="H50" s="16">
        <f>H48/H49</f>
        <v>429</v>
      </c>
      <c r="I50" s="16">
        <f t="shared" si="4"/>
        <v>428.2142857142857</v>
      </c>
      <c r="J50" s="16">
        <f t="shared" si="4"/>
        <v>426</v>
      </c>
      <c r="K50" s="16">
        <f t="shared" si="4"/>
        <v>420</v>
      </c>
      <c r="L50" s="16">
        <f t="shared" si="4"/>
        <v>397</v>
      </c>
      <c r="N50" s="3" t="s">
        <v>30</v>
      </c>
      <c r="O50" s="371" t="s">
        <v>115</v>
      </c>
      <c r="P50" s="371"/>
      <c r="Q50" s="3" t="s">
        <v>31</v>
      </c>
      <c r="R50" s="10" t="s">
        <v>116</v>
      </c>
      <c r="T50" s="74" t="s">
        <v>126</v>
      </c>
      <c r="U50" s="74" t="s">
        <v>223</v>
      </c>
    </row>
    <row r="51" spans="14:21" ht="15.75">
      <c r="N51" s="6">
        <f>SUM(M31:M47)+N26</f>
        <v>82246</v>
      </c>
      <c r="O51" s="6">
        <f>SUM(N31:N47)+O26</f>
        <v>162</v>
      </c>
      <c r="P51" s="6">
        <f>SUM(O31:O47)+P26</f>
        <v>94</v>
      </c>
      <c r="Q51" s="6">
        <f>SUM(P31:P47)+Q26</f>
        <v>1823</v>
      </c>
      <c r="R51" s="6">
        <f>SUM(Q31:Q47)+R26</f>
        <v>52</v>
      </c>
      <c r="T51" s="2">
        <f>O51-P51</f>
        <v>68</v>
      </c>
      <c r="U51" s="2">
        <f>SUM(R48:T48)</f>
        <v>32</v>
      </c>
    </row>
    <row r="53" spans="14:15" ht="15.75">
      <c r="N53" s="1" t="s">
        <v>128</v>
      </c>
      <c r="O53" s="18">
        <f>N51/U51</f>
        <v>2570.1875</v>
      </c>
    </row>
  </sheetData>
  <sheetProtection/>
  <mergeCells count="11">
    <mergeCell ref="E1:F1"/>
    <mergeCell ref="H1:I1"/>
    <mergeCell ref="K1:L1"/>
    <mergeCell ref="K2:L2"/>
    <mergeCell ref="O50:P50"/>
    <mergeCell ref="I27:J27"/>
    <mergeCell ref="C4:M4"/>
    <mergeCell ref="O4:P4"/>
    <mergeCell ref="C27:D27"/>
    <mergeCell ref="O25:P25"/>
    <mergeCell ref="F27:G27"/>
  </mergeCells>
  <printOptions/>
  <pageMargins left="0.75" right="0.75" top="1" bottom="1" header="0.5" footer="0.5"/>
  <pageSetup horizontalDpi="600" verticalDpi="600" orientation="portrait" paperSize="9" r:id="rId1"/>
  <ignoredErrors>
    <ignoredError sqref="F25" formula="1"/>
    <ignoredError sqref="H23:H2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T53"/>
  <sheetViews>
    <sheetView zoomScale="90" zoomScaleNormal="90" zoomScalePageLayoutView="0" workbookViewId="0" topLeftCell="B28">
      <selection activeCell="E47" sqref="D47:E47"/>
    </sheetView>
  </sheetViews>
  <sheetFormatPr defaultColWidth="9.00390625" defaultRowHeight="12.75"/>
  <cols>
    <col min="1" max="1" width="11.75390625" style="1" bestFit="1" customWidth="1"/>
    <col min="2" max="2" width="21.00390625" style="1" bestFit="1" customWidth="1"/>
    <col min="3" max="3" width="10.00390625" style="1" customWidth="1"/>
    <col min="4" max="4" width="11.25390625" style="1" customWidth="1"/>
    <col min="5" max="5" width="10.875" style="1" customWidth="1"/>
    <col min="6" max="6" width="8.625" style="1" customWidth="1"/>
    <col min="7" max="7" width="9.125" style="1" customWidth="1"/>
    <col min="8" max="8" width="9.75390625" style="1" customWidth="1"/>
    <col min="9" max="9" width="11.875" style="1" customWidth="1"/>
    <col min="10" max="10" width="11.625" style="1" customWidth="1"/>
    <col min="11" max="11" width="11.375" style="1" customWidth="1"/>
    <col min="12" max="12" width="16.75390625" style="1" bestFit="1" customWidth="1"/>
    <col min="13" max="13" width="17.7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75390625" style="1" customWidth="1"/>
    <col min="18" max="18" width="9.25390625" style="0" bestFit="1" customWidth="1"/>
    <col min="19" max="19" width="11.125" style="0" customWidth="1"/>
    <col min="20" max="20" width="10.25390625" style="0" customWidth="1"/>
  </cols>
  <sheetData>
    <row r="1" spans="1:15" ht="15.75">
      <c r="A1" s="58" t="s">
        <v>141</v>
      </c>
      <c r="B1" s="62"/>
      <c r="C1" s="63" t="s">
        <v>276</v>
      </c>
      <c r="D1" s="59" t="s">
        <v>139</v>
      </c>
      <c r="E1" s="372" t="s">
        <v>140</v>
      </c>
      <c r="F1" s="372"/>
      <c r="H1" s="368" t="s">
        <v>151</v>
      </c>
      <c r="I1" s="368"/>
      <c r="J1" s="11" t="s">
        <v>152</v>
      </c>
      <c r="K1" s="368" t="s">
        <v>126</v>
      </c>
      <c r="L1" s="368"/>
      <c r="N1" s="225" t="s">
        <v>128</v>
      </c>
      <c r="O1" s="18">
        <f>M26/T26</f>
        <v>2534.8125</v>
      </c>
    </row>
    <row r="2" spans="8:15" ht="15.75">
      <c r="H2" s="1">
        <f>N26+N48</f>
        <v>140</v>
      </c>
      <c r="I2" s="1">
        <f>O26+O48</f>
        <v>116</v>
      </c>
      <c r="J2" s="1">
        <f>Q26+Q48</f>
        <v>37</v>
      </c>
      <c r="K2" s="374">
        <f>H2-I2</f>
        <v>24</v>
      </c>
      <c r="L2" s="374"/>
      <c r="N2" s="225" t="s">
        <v>234</v>
      </c>
      <c r="O2" s="6">
        <f>M7+M9+M11+M13+M15+M18+M20+M22</f>
        <v>20001</v>
      </c>
    </row>
    <row r="3" ht="15.75"/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2.25" thickBot="1">
      <c r="B5" s="3" t="s">
        <v>25</v>
      </c>
      <c r="C5" s="8" t="s">
        <v>71</v>
      </c>
      <c r="D5" s="8" t="s">
        <v>72</v>
      </c>
      <c r="E5" s="223" t="s">
        <v>73</v>
      </c>
      <c r="F5" s="223" t="s">
        <v>74</v>
      </c>
      <c r="G5" s="223" t="s">
        <v>75</v>
      </c>
      <c r="H5" s="223" t="s">
        <v>100</v>
      </c>
      <c r="I5" s="223" t="s">
        <v>101</v>
      </c>
      <c r="J5" s="223" t="s">
        <v>302</v>
      </c>
      <c r="K5" s="8" t="s">
        <v>219</v>
      </c>
      <c r="L5" s="8" t="s">
        <v>292</v>
      </c>
      <c r="M5" s="3" t="s">
        <v>30</v>
      </c>
      <c r="N5" s="3" t="s">
        <v>23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04" customFormat="1" ht="15.75">
      <c r="A6" s="137" t="s">
        <v>0</v>
      </c>
      <c r="B6" s="137" t="s">
        <v>26</v>
      </c>
      <c r="C6" s="244">
        <v>461</v>
      </c>
      <c r="D6" s="244">
        <v>453</v>
      </c>
      <c r="E6" s="42">
        <v>408</v>
      </c>
      <c r="F6" s="42">
        <v>412</v>
      </c>
      <c r="G6" s="42">
        <v>424</v>
      </c>
      <c r="H6" s="42"/>
      <c r="I6" s="42"/>
      <c r="J6" s="42"/>
      <c r="K6" s="244">
        <v>454</v>
      </c>
      <c r="L6" s="35"/>
      <c r="M6" s="154">
        <f>SUM(C6:L6)</f>
        <v>2612</v>
      </c>
      <c r="N6" s="100">
        <v>3</v>
      </c>
      <c r="O6" s="100">
        <v>5</v>
      </c>
      <c r="P6" s="154">
        <v>-54</v>
      </c>
      <c r="Q6" s="100">
        <v>0</v>
      </c>
      <c r="R6" s="103"/>
      <c r="S6" s="103"/>
      <c r="T6" s="103">
        <v>1</v>
      </c>
    </row>
    <row r="7" spans="1:20" s="114" customFormat="1" ht="15.75">
      <c r="A7" s="57" t="s">
        <v>1</v>
      </c>
      <c r="B7" s="57" t="s">
        <v>208</v>
      </c>
      <c r="C7" s="243">
        <v>458</v>
      </c>
      <c r="D7" s="243">
        <v>422</v>
      </c>
      <c r="E7" s="43"/>
      <c r="F7" s="43">
        <v>404</v>
      </c>
      <c r="G7" s="43">
        <v>403</v>
      </c>
      <c r="H7" s="43">
        <v>237</v>
      </c>
      <c r="I7" s="43"/>
      <c r="J7" s="43"/>
      <c r="K7" s="43"/>
      <c r="L7" s="39">
        <v>383</v>
      </c>
      <c r="M7" s="109">
        <f>SUM(C7:L7)</f>
        <v>2307</v>
      </c>
      <c r="N7" s="110">
        <v>2</v>
      </c>
      <c r="O7" s="110">
        <v>6</v>
      </c>
      <c r="P7" s="109">
        <v>-251</v>
      </c>
      <c r="Q7" s="110">
        <v>0</v>
      </c>
      <c r="R7" s="113"/>
      <c r="S7" s="113"/>
      <c r="T7" s="113">
        <v>1</v>
      </c>
    </row>
    <row r="8" spans="1:20" s="148" customFormat="1" ht="15.75">
      <c r="A8" s="121" t="s">
        <v>2</v>
      </c>
      <c r="B8" s="121" t="s">
        <v>206</v>
      </c>
      <c r="C8" s="121">
        <v>409</v>
      </c>
      <c r="D8" s="258">
        <v>430</v>
      </c>
      <c r="E8" s="258">
        <v>413</v>
      </c>
      <c r="F8" s="120"/>
      <c r="G8" s="258">
        <v>443</v>
      </c>
      <c r="H8" s="258">
        <v>425</v>
      </c>
      <c r="I8" s="120"/>
      <c r="J8" s="120"/>
      <c r="K8" s="258">
        <v>413</v>
      </c>
      <c r="L8" s="157"/>
      <c r="M8" s="175">
        <f>SUM(B8:L8)</f>
        <v>2533</v>
      </c>
      <c r="N8" s="145">
        <v>7</v>
      </c>
      <c r="O8" s="145">
        <v>1</v>
      </c>
      <c r="P8" s="145">
        <v>146</v>
      </c>
      <c r="Q8" s="145">
        <v>2</v>
      </c>
      <c r="R8" s="176">
        <v>1</v>
      </c>
      <c r="S8" s="176"/>
      <c r="T8" s="176"/>
    </row>
    <row r="9" spans="1:20" s="114" customFormat="1" ht="15.75">
      <c r="A9" s="152" t="s">
        <v>3</v>
      </c>
      <c r="B9" s="152" t="s">
        <v>20</v>
      </c>
      <c r="C9" s="265">
        <v>437</v>
      </c>
      <c r="D9" s="138">
        <v>415</v>
      </c>
      <c r="E9" s="138"/>
      <c r="F9" s="265">
        <v>418</v>
      </c>
      <c r="G9" s="138"/>
      <c r="H9" s="265">
        <v>420</v>
      </c>
      <c r="I9" s="138"/>
      <c r="J9" s="138"/>
      <c r="K9" s="265">
        <v>458</v>
      </c>
      <c r="L9" s="159">
        <v>368</v>
      </c>
      <c r="M9" s="109">
        <f>SUM(B9:L9)</f>
        <v>2516</v>
      </c>
      <c r="N9" s="110">
        <v>6</v>
      </c>
      <c r="O9" s="110">
        <v>2</v>
      </c>
      <c r="P9" s="109">
        <v>135</v>
      </c>
      <c r="Q9" s="110">
        <v>2</v>
      </c>
      <c r="R9" s="113">
        <v>1</v>
      </c>
      <c r="S9" s="113"/>
      <c r="T9" s="113"/>
    </row>
    <row r="10" spans="1:20" s="23" customFormat="1" ht="15.75">
      <c r="A10" s="153" t="s">
        <v>4</v>
      </c>
      <c r="B10" s="146" t="s">
        <v>22</v>
      </c>
      <c r="C10" s="257">
        <v>445</v>
      </c>
      <c r="D10" s="257">
        <v>441</v>
      </c>
      <c r="E10" s="146"/>
      <c r="F10" s="146">
        <v>386</v>
      </c>
      <c r="G10" s="257">
        <v>454</v>
      </c>
      <c r="H10" s="146"/>
      <c r="I10" s="146"/>
      <c r="J10" s="146"/>
      <c r="K10" s="257">
        <v>455</v>
      </c>
      <c r="L10" s="165">
        <v>372</v>
      </c>
      <c r="M10" s="21">
        <f>SUM(C10:L10)</f>
        <v>2553</v>
      </c>
      <c r="N10" s="19">
        <v>6</v>
      </c>
      <c r="O10" s="19">
        <v>2</v>
      </c>
      <c r="P10" s="21">
        <v>159</v>
      </c>
      <c r="Q10" s="19">
        <v>2</v>
      </c>
      <c r="R10" s="22">
        <v>1</v>
      </c>
      <c r="S10" s="22"/>
      <c r="T10" s="22"/>
    </row>
    <row r="11" spans="1:20" s="114" customFormat="1" ht="15.75">
      <c r="A11" s="57" t="s">
        <v>5</v>
      </c>
      <c r="B11" s="57" t="s">
        <v>196</v>
      </c>
      <c r="C11" s="243">
        <v>440</v>
      </c>
      <c r="D11" s="43">
        <v>396</v>
      </c>
      <c r="E11" s="43"/>
      <c r="F11" s="43">
        <v>411</v>
      </c>
      <c r="G11" s="43"/>
      <c r="H11" s="43">
        <v>406</v>
      </c>
      <c r="I11" s="243">
        <v>429</v>
      </c>
      <c r="J11" s="43"/>
      <c r="K11" s="43"/>
      <c r="L11" s="250">
        <v>415</v>
      </c>
      <c r="M11" s="109">
        <f>SUM(C11:L11)</f>
        <v>2497</v>
      </c>
      <c r="N11" s="110">
        <v>3</v>
      </c>
      <c r="O11" s="110">
        <v>5</v>
      </c>
      <c r="P11" s="110">
        <v>-25</v>
      </c>
      <c r="Q11" s="110">
        <v>0</v>
      </c>
      <c r="R11" s="113"/>
      <c r="S11" s="113"/>
      <c r="T11" s="113">
        <v>1</v>
      </c>
    </row>
    <row r="12" spans="1:20" s="104" customFormat="1" ht="15.75">
      <c r="A12" s="121" t="s">
        <v>6</v>
      </c>
      <c r="B12" s="121" t="s">
        <v>19</v>
      </c>
      <c r="C12" s="258">
        <v>438</v>
      </c>
      <c r="D12" s="120">
        <v>426</v>
      </c>
      <c r="E12" s="254">
        <v>439</v>
      </c>
      <c r="F12" s="254">
        <v>441</v>
      </c>
      <c r="G12" s="129"/>
      <c r="H12" s="129">
        <v>407</v>
      </c>
      <c r="I12" s="129"/>
      <c r="J12" s="129"/>
      <c r="K12" s="254">
        <v>454</v>
      </c>
      <c r="L12" s="157"/>
      <c r="M12" s="154">
        <f>SUM(C12:L12)</f>
        <v>2605</v>
      </c>
      <c r="N12" s="100">
        <v>6</v>
      </c>
      <c r="O12" s="100">
        <v>2</v>
      </c>
      <c r="P12" s="154">
        <v>173</v>
      </c>
      <c r="Q12" s="100">
        <v>2</v>
      </c>
      <c r="R12" s="103">
        <v>1</v>
      </c>
      <c r="S12" s="103"/>
      <c r="T12" s="103"/>
    </row>
    <row r="13" spans="1:20" s="30" customFormat="1" ht="15.75">
      <c r="A13" s="152" t="s">
        <v>7</v>
      </c>
      <c r="B13" s="152" t="s">
        <v>264</v>
      </c>
      <c r="C13" s="265">
        <v>439</v>
      </c>
      <c r="D13" s="138">
        <v>409</v>
      </c>
      <c r="E13" s="138"/>
      <c r="F13" s="265">
        <v>420</v>
      </c>
      <c r="G13" s="138">
        <v>401</v>
      </c>
      <c r="H13" s="138">
        <v>409</v>
      </c>
      <c r="I13" s="138"/>
      <c r="J13" s="138"/>
      <c r="K13" s="138"/>
      <c r="L13" s="159">
        <v>354</v>
      </c>
      <c r="M13" s="28">
        <f>SUM(C13:L13)</f>
        <v>2432</v>
      </c>
      <c r="N13" s="26">
        <v>2</v>
      </c>
      <c r="O13" s="26">
        <v>6</v>
      </c>
      <c r="P13" s="28">
        <v>-147</v>
      </c>
      <c r="Q13" s="26">
        <v>0</v>
      </c>
      <c r="R13" s="29"/>
      <c r="S13" s="29"/>
      <c r="T13" s="29">
        <v>1</v>
      </c>
    </row>
    <row r="14" spans="1:20" s="104" customFormat="1" ht="15.75">
      <c r="A14" s="153" t="s">
        <v>8</v>
      </c>
      <c r="B14" s="153" t="s">
        <v>17</v>
      </c>
      <c r="C14" s="257">
        <v>436</v>
      </c>
      <c r="D14" s="146">
        <v>376</v>
      </c>
      <c r="E14" s="146"/>
      <c r="F14" s="257">
        <v>424</v>
      </c>
      <c r="G14" s="257">
        <v>472</v>
      </c>
      <c r="H14" s="146">
        <v>411</v>
      </c>
      <c r="I14" s="146"/>
      <c r="J14" s="146"/>
      <c r="K14" s="257">
        <v>469</v>
      </c>
      <c r="L14" s="165"/>
      <c r="M14" s="154">
        <f>SUM(C14:L14)</f>
        <v>2588</v>
      </c>
      <c r="N14" s="100">
        <v>6</v>
      </c>
      <c r="O14" s="100">
        <v>2</v>
      </c>
      <c r="P14" s="100">
        <v>61</v>
      </c>
      <c r="Q14" s="100">
        <v>2</v>
      </c>
      <c r="R14" s="103">
        <v>1</v>
      </c>
      <c r="S14" s="103"/>
      <c r="T14" s="103"/>
    </row>
    <row r="15" spans="1:20" s="30" customFormat="1" ht="15.75">
      <c r="A15" s="57" t="s">
        <v>9</v>
      </c>
      <c r="B15" s="43" t="s">
        <v>15</v>
      </c>
      <c r="C15" s="243">
        <v>433</v>
      </c>
      <c r="D15" s="243">
        <v>433</v>
      </c>
      <c r="E15" s="43">
        <v>422</v>
      </c>
      <c r="F15" s="243">
        <v>459</v>
      </c>
      <c r="G15" s="43">
        <v>401</v>
      </c>
      <c r="H15" s="243">
        <v>434</v>
      </c>
      <c r="I15" s="43"/>
      <c r="J15" s="43"/>
      <c r="K15" s="47"/>
      <c r="L15" s="39"/>
      <c r="M15" s="28">
        <f>SUM(C15:J15)</f>
        <v>2582</v>
      </c>
      <c r="N15" s="26">
        <v>6</v>
      </c>
      <c r="O15" s="26">
        <v>2</v>
      </c>
      <c r="P15" s="28">
        <f>M15-2549</f>
        <v>33</v>
      </c>
      <c r="Q15" s="26">
        <v>2</v>
      </c>
      <c r="R15" s="29">
        <v>1</v>
      </c>
      <c r="S15" s="29"/>
      <c r="T15" s="29"/>
    </row>
    <row r="16" spans="1:20" s="148" customFormat="1" ht="15.75">
      <c r="A16" s="121" t="s">
        <v>10</v>
      </c>
      <c r="B16" s="121" t="s">
        <v>267</v>
      </c>
      <c r="C16" s="258">
        <v>453</v>
      </c>
      <c r="D16" s="258">
        <v>462</v>
      </c>
      <c r="E16" s="120"/>
      <c r="F16" s="120">
        <v>406</v>
      </c>
      <c r="G16" s="120">
        <v>421</v>
      </c>
      <c r="H16" s="120">
        <v>392</v>
      </c>
      <c r="I16" s="120"/>
      <c r="J16" s="120"/>
      <c r="K16" s="120"/>
      <c r="L16" s="157">
        <v>325</v>
      </c>
      <c r="M16" s="175">
        <f>SUM(C16:L16)</f>
        <v>2459</v>
      </c>
      <c r="N16" s="145">
        <v>2</v>
      </c>
      <c r="O16" s="145">
        <v>6</v>
      </c>
      <c r="P16" s="145">
        <v>-128</v>
      </c>
      <c r="Q16" s="145">
        <v>0</v>
      </c>
      <c r="R16" s="176"/>
      <c r="S16" s="176"/>
      <c r="T16" s="176">
        <v>1</v>
      </c>
    </row>
    <row r="17" spans="1:20" s="104" customFormat="1" ht="15.75">
      <c r="A17" s="121" t="s">
        <v>11</v>
      </c>
      <c r="B17" s="121" t="s">
        <v>255</v>
      </c>
      <c r="C17" s="180"/>
      <c r="D17" s="181"/>
      <c r="E17" s="181"/>
      <c r="F17" s="181"/>
      <c r="G17" s="181"/>
      <c r="H17" s="181"/>
      <c r="I17" s="181"/>
      <c r="J17" s="181"/>
      <c r="K17" s="181"/>
      <c r="L17" s="182"/>
      <c r="M17" s="154" t="s">
        <v>255</v>
      </c>
      <c r="N17" s="183"/>
      <c r="O17" s="183"/>
      <c r="P17" s="184"/>
      <c r="Q17" s="183"/>
      <c r="R17" s="185"/>
      <c r="S17" s="185"/>
      <c r="T17" s="185"/>
    </row>
    <row r="18" spans="1:20" s="30" customFormat="1" ht="15.75">
      <c r="A18" s="152" t="s">
        <v>12</v>
      </c>
      <c r="B18" s="152" t="s">
        <v>260</v>
      </c>
      <c r="C18" s="265">
        <v>473</v>
      </c>
      <c r="D18" s="138">
        <v>396</v>
      </c>
      <c r="E18" s="265">
        <v>436</v>
      </c>
      <c r="F18" s="138">
        <v>415</v>
      </c>
      <c r="G18" s="265">
        <v>451</v>
      </c>
      <c r="H18" s="138">
        <v>415</v>
      </c>
      <c r="I18" s="138"/>
      <c r="J18" s="138"/>
      <c r="K18" s="138"/>
      <c r="L18" s="159"/>
      <c r="M18" s="28">
        <f>SUM(C18:L18)</f>
        <v>2586</v>
      </c>
      <c r="N18" s="26">
        <v>3</v>
      </c>
      <c r="O18" s="26">
        <v>5</v>
      </c>
      <c r="P18" s="28">
        <v>-2</v>
      </c>
      <c r="Q18" s="26">
        <v>0</v>
      </c>
      <c r="R18" s="29"/>
      <c r="S18" s="29"/>
      <c r="T18" s="29">
        <v>1</v>
      </c>
    </row>
    <row r="19" spans="1:20" s="148" customFormat="1" ht="15.75">
      <c r="A19" s="153" t="s">
        <v>13</v>
      </c>
      <c r="B19" s="153" t="s">
        <v>209</v>
      </c>
      <c r="C19" s="153">
        <v>418</v>
      </c>
      <c r="D19" s="146">
        <v>402</v>
      </c>
      <c r="E19" s="146"/>
      <c r="F19" s="257">
        <v>431</v>
      </c>
      <c r="G19" s="257">
        <v>431</v>
      </c>
      <c r="H19" s="257">
        <v>419</v>
      </c>
      <c r="I19" s="146"/>
      <c r="J19" s="146"/>
      <c r="K19" s="257">
        <v>473</v>
      </c>
      <c r="L19" s="165"/>
      <c r="M19" s="175">
        <f>SUM(C19:L19)</f>
        <v>2574</v>
      </c>
      <c r="N19" s="145">
        <v>6</v>
      </c>
      <c r="O19" s="145">
        <v>2</v>
      </c>
      <c r="P19" s="145">
        <v>99</v>
      </c>
      <c r="Q19" s="145">
        <v>2</v>
      </c>
      <c r="R19" s="176">
        <v>1</v>
      </c>
      <c r="S19" s="176"/>
      <c r="T19" s="176"/>
    </row>
    <row r="20" spans="1:20" s="30" customFormat="1" ht="15.75">
      <c r="A20" s="57" t="s">
        <v>14</v>
      </c>
      <c r="B20" s="57" t="s">
        <v>16</v>
      </c>
      <c r="C20" s="243">
        <v>439</v>
      </c>
      <c r="D20" s="43">
        <v>412</v>
      </c>
      <c r="E20" s="43"/>
      <c r="F20" s="43">
        <v>390</v>
      </c>
      <c r="G20" s="243">
        <v>442</v>
      </c>
      <c r="H20" s="43">
        <v>424</v>
      </c>
      <c r="I20" s="43"/>
      <c r="J20" s="43"/>
      <c r="K20" s="243">
        <v>438</v>
      </c>
      <c r="L20" s="39"/>
      <c r="M20" s="28">
        <f>SUM(C20:L20)</f>
        <v>2545</v>
      </c>
      <c r="N20" s="26">
        <v>3</v>
      </c>
      <c r="O20" s="26">
        <v>5</v>
      </c>
      <c r="P20" s="26">
        <v>-60</v>
      </c>
      <c r="Q20" s="26">
        <v>0</v>
      </c>
      <c r="R20" s="29"/>
      <c r="S20" s="29"/>
      <c r="T20" s="29">
        <v>1</v>
      </c>
    </row>
    <row r="21" spans="1:20" s="23" customFormat="1" ht="15.75">
      <c r="A21" s="121" t="s">
        <v>261</v>
      </c>
      <c r="B21" s="121" t="s">
        <v>205</v>
      </c>
      <c r="C21" s="121">
        <v>406</v>
      </c>
      <c r="D21" s="258">
        <v>435</v>
      </c>
      <c r="E21" s="258">
        <v>465</v>
      </c>
      <c r="F21" s="258">
        <v>445</v>
      </c>
      <c r="G21" s="258">
        <v>447</v>
      </c>
      <c r="H21" s="120"/>
      <c r="I21" s="42"/>
      <c r="J21" s="120"/>
      <c r="K21" s="120">
        <v>434</v>
      </c>
      <c r="L21" s="157"/>
      <c r="M21" s="21">
        <f>SUM(C21:L21)</f>
        <v>2632</v>
      </c>
      <c r="N21" s="19">
        <v>6</v>
      </c>
      <c r="O21" s="19">
        <v>2</v>
      </c>
      <c r="P21" s="19">
        <v>63</v>
      </c>
      <c r="Q21" s="19">
        <v>2</v>
      </c>
      <c r="R21" s="22">
        <v>1</v>
      </c>
      <c r="S21" s="22"/>
      <c r="T21" s="22"/>
    </row>
    <row r="22" spans="1:20" s="30" customFormat="1" ht="16.5" thickBot="1">
      <c r="A22" s="152" t="s">
        <v>262</v>
      </c>
      <c r="B22" s="152" t="s">
        <v>21</v>
      </c>
      <c r="C22" s="287">
        <v>451</v>
      </c>
      <c r="D22" s="287">
        <v>443</v>
      </c>
      <c r="E22" s="177"/>
      <c r="F22" s="177">
        <v>394</v>
      </c>
      <c r="G22" s="287">
        <v>453</v>
      </c>
      <c r="H22" s="287">
        <v>429</v>
      </c>
      <c r="I22" s="177"/>
      <c r="J22" s="177">
        <v>366</v>
      </c>
      <c r="K22" s="177"/>
      <c r="L22" s="178"/>
      <c r="M22" s="41">
        <f>SUM(C22:L22)</f>
        <v>2536</v>
      </c>
      <c r="N22" s="38">
        <v>6</v>
      </c>
      <c r="O22" s="38">
        <v>2</v>
      </c>
      <c r="P22" s="41">
        <v>97</v>
      </c>
      <c r="Q22" s="38">
        <v>2</v>
      </c>
      <c r="R22" s="29">
        <v>1</v>
      </c>
      <c r="S22" s="29"/>
      <c r="T22" s="29"/>
    </row>
    <row r="23" spans="3:20" ht="16.5" thickTop="1">
      <c r="C23" s="6">
        <f aca="true" t="shared" si="0" ref="C23:I23">SUM(C6:C22)</f>
        <v>7036</v>
      </c>
      <c r="D23" s="6">
        <f t="shared" si="0"/>
        <v>6751</v>
      </c>
      <c r="E23" s="6">
        <f t="shared" si="0"/>
        <v>2583</v>
      </c>
      <c r="F23" s="6">
        <f t="shared" si="0"/>
        <v>6256</v>
      </c>
      <c r="G23" s="6">
        <f t="shared" si="0"/>
        <v>5643</v>
      </c>
      <c r="H23" s="6">
        <f>SUM(H8:H22)</f>
        <v>4991</v>
      </c>
      <c r="I23" s="6">
        <f t="shared" si="0"/>
        <v>429</v>
      </c>
      <c r="J23" s="6">
        <f>SUM(J6:J22)</f>
        <v>366</v>
      </c>
      <c r="K23" s="6">
        <f>SUM(K6:K22)</f>
        <v>4048</v>
      </c>
      <c r="L23" s="6">
        <f>SUM(L6:L22)</f>
        <v>2217</v>
      </c>
      <c r="R23" s="83">
        <f>SUM(R6:R22)</f>
        <v>9</v>
      </c>
      <c r="S23" s="83">
        <f>SUM(S6:S22)</f>
        <v>0</v>
      </c>
      <c r="T23" s="83">
        <f>SUM(T6:T22)</f>
        <v>7</v>
      </c>
    </row>
    <row r="24" spans="2:12" ht="15.75">
      <c r="B24" s="1" t="s">
        <v>225</v>
      </c>
      <c r="C24" s="6">
        <f>COUNT(C6:C22)</f>
        <v>16</v>
      </c>
      <c r="D24" s="6">
        <f aca="true" t="shared" si="1" ref="D24:J24">COUNT(D6:D22)</f>
        <v>16</v>
      </c>
      <c r="E24" s="6">
        <f t="shared" si="1"/>
        <v>6</v>
      </c>
      <c r="F24" s="6">
        <f t="shared" si="1"/>
        <v>15</v>
      </c>
      <c r="G24" s="6">
        <f t="shared" si="1"/>
        <v>13</v>
      </c>
      <c r="H24" s="6">
        <f>COUNT(H8:H22)</f>
        <v>12</v>
      </c>
      <c r="I24" s="6">
        <f t="shared" si="1"/>
        <v>1</v>
      </c>
      <c r="J24" s="6">
        <f t="shared" si="1"/>
        <v>1</v>
      </c>
      <c r="K24" s="6">
        <f>COUNT(K6:K12)+COUNT(K14:K22)</f>
        <v>9</v>
      </c>
      <c r="L24" s="6">
        <f>COUNT(L6:L13)+COUNT(L14:L22)</f>
        <v>6</v>
      </c>
    </row>
    <row r="25" spans="2:20" ht="33.75" customHeight="1">
      <c r="B25" s="11" t="s">
        <v>127</v>
      </c>
      <c r="C25" s="16">
        <f aca="true" t="shared" si="2" ref="C25:I25">AVERAGE(C6:C22)</f>
        <v>439.75</v>
      </c>
      <c r="D25" s="16">
        <f t="shared" si="2"/>
        <v>421.9375</v>
      </c>
      <c r="E25" s="16">
        <f t="shared" si="2"/>
        <v>430.5</v>
      </c>
      <c r="F25" s="16">
        <f t="shared" si="2"/>
        <v>417.06666666666666</v>
      </c>
      <c r="G25" s="16">
        <f t="shared" si="2"/>
        <v>434.0769230769231</v>
      </c>
      <c r="H25" s="16">
        <f>AVERAGE(H8:H22)</f>
        <v>415.9166666666667</v>
      </c>
      <c r="I25" s="16">
        <f t="shared" si="2"/>
        <v>429</v>
      </c>
      <c r="J25" s="16">
        <f>AVERAGE(J6:J22)</f>
        <v>366</v>
      </c>
      <c r="K25" s="16">
        <f>AVERAGE(K6:K22)</f>
        <v>449.77777777777777</v>
      </c>
      <c r="L25" s="16">
        <f>AVERAGE(L6:L22)</f>
        <v>369.5</v>
      </c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S25" s="74" t="s">
        <v>126</v>
      </c>
      <c r="T25" s="74" t="s">
        <v>223</v>
      </c>
    </row>
    <row r="26" spans="13:20" ht="15.75">
      <c r="M26" s="6">
        <f>SUM(M6:M22)</f>
        <v>40557</v>
      </c>
      <c r="N26" s="1">
        <f>SUM(N6:N22)</f>
        <v>73</v>
      </c>
      <c r="O26" s="1">
        <f>SUM(O6:O22)</f>
        <v>55</v>
      </c>
      <c r="P26" s="1">
        <f>SUM(P6:P22)</f>
        <v>299</v>
      </c>
      <c r="Q26" s="1">
        <f>SUM(Q6:Q22)</f>
        <v>18</v>
      </c>
      <c r="S26" s="2">
        <f>N26-O26</f>
        <v>18</v>
      </c>
      <c r="T26" s="2">
        <f>SUM(R23:T23)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20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26"/>
      <c r="S28" s="226"/>
      <c r="T28" s="226"/>
    </row>
    <row r="30" spans="2:20" ht="32.25" thickBot="1">
      <c r="B30" s="3" t="s">
        <v>25</v>
      </c>
      <c r="C30" s="8" t="s">
        <v>71</v>
      </c>
      <c r="D30" s="8" t="s">
        <v>72</v>
      </c>
      <c r="E30" s="223" t="s">
        <v>73</v>
      </c>
      <c r="F30" s="223" t="s">
        <v>74</v>
      </c>
      <c r="G30" s="223" t="s">
        <v>75</v>
      </c>
      <c r="H30" s="223" t="s">
        <v>100</v>
      </c>
      <c r="I30" s="223" t="s">
        <v>101</v>
      </c>
      <c r="J30" s="223" t="s">
        <v>302</v>
      </c>
      <c r="K30" s="8" t="s">
        <v>219</v>
      </c>
      <c r="L30" s="8" t="s">
        <v>292</v>
      </c>
      <c r="M30" s="3" t="s">
        <v>30</v>
      </c>
      <c r="N30" s="3" t="s">
        <v>23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18" s="114" customFormat="1" ht="15.75">
      <c r="A31" s="26" t="s">
        <v>153</v>
      </c>
      <c r="B31" s="57" t="s">
        <v>17</v>
      </c>
      <c r="C31" s="243">
        <v>435</v>
      </c>
      <c r="D31" s="43">
        <v>414</v>
      </c>
      <c r="E31" s="243">
        <v>453</v>
      </c>
      <c r="F31" s="43">
        <v>428</v>
      </c>
      <c r="G31" s="243">
        <v>449</v>
      </c>
      <c r="H31" s="43">
        <v>386</v>
      </c>
      <c r="I31" s="43"/>
      <c r="J31" s="43"/>
      <c r="K31" s="43"/>
      <c r="L31" s="43"/>
      <c r="M31" s="112">
        <f>SUM(C31:L31)</f>
        <v>2565</v>
      </c>
      <c r="N31" s="110">
        <v>5</v>
      </c>
      <c r="O31" s="110">
        <v>3</v>
      </c>
      <c r="P31" s="110">
        <v>6</v>
      </c>
      <c r="Q31" s="110">
        <v>2</v>
      </c>
      <c r="R31" s="114">
        <v>1</v>
      </c>
    </row>
    <row r="32" spans="1:18" s="23" customFormat="1" ht="15.75">
      <c r="A32" s="145" t="s">
        <v>154</v>
      </c>
      <c r="B32" s="146" t="s">
        <v>15</v>
      </c>
      <c r="C32" s="257">
        <v>435</v>
      </c>
      <c r="D32" s="146">
        <v>409</v>
      </c>
      <c r="E32" s="257">
        <v>455</v>
      </c>
      <c r="F32" s="146"/>
      <c r="G32" s="257">
        <v>449</v>
      </c>
      <c r="H32" s="146">
        <v>379</v>
      </c>
      <c r="I32" s="146"/>
      <c r="J32" s="146"/>
      <c r="K32" s="257">
        <v>433</v>
      </c>
      <c r="L32" s="146"/>
      <c r="M32" s="69">
        <f aca="true" t="shared" si="3" ref="M32:M47">SUM(C32:L32)</f>
        <v>2560</v>
      </c>
      <c r="N32" s="19">
        <v>6</v>
      </c>
      <c r="O32" s="19">
        <v>2</v>
      </c>
      <c r="P32" s="19">
        <v>37</v>
      </c>
      <c r="Q32" s="19">
        <v>2</v>
      </c>
      <c r="R32" s="23">
        <v>1</v>
      </c>
    </row>
    <row r="33" spans="1:20" s="114" customFormat="1" ht="15.75">
      <c r="A33" s="26" t="s">
        <v>155</v>
      </c>
      <c r="B33" s="57" t="s">
        <v>267</v>
      </c>
      <c r="C33" s="43">
        <v>393</v>
      </c>
      <c r="D33" s="43">
        <v>403</v>
      </c>
      <c r="E33" s="43"/>
      <c r="F33" s="43"/>
      <c r="G33" s="321">
        <v>420</v>
      </c>
      <c r="H33" s="322">
        <v>425</v>
      </c>
      <c r="I33" s="43"/>
      <c r="J33" s="43">
        <v>330</v>
      </c>
      <c r="K33" s="43"/>
      <c r="L33" s="43">
        <v>395</v>
      </c>
      <c r="M33" s="112">
        <f t="shared" si="3"/>
        <v>2366</v>
      </c>
      <c r="N33" s="110">
        <v>1</v>
      </c>
      <c r="O33" s="110">
        <v>7</v>
      </c>
      <c r="P33" s="110">
        <v>-261</v>
      </c>
      <c r="Q33" s="110">
        <v>0</v>
      </c>
      <c r="T33" s="114">
        <v>1</v>
      </c>
    </row>
    <row r="34" spans="1:17" s="299" customFormat="1" ht="15.75">
      <c r="A34" s="293" t="s">
        <v>156</v>
      </c>
      <c r="B34" s="294" t="s">
        <v>255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297">
        <f t="shared" si="3"/>
        <v>0</v>
      </c>
      <c r="N34" s="293"/>
      <c r="O34" s="293"/>
      <c r="P34" s="293"/>
      <c r="Q34" s="293"/>
    </row>
    <row r="35" spans="1:20" s="150" customFormat="1" ht="15.75">
      <c r="A35" s="33" t="s">
        <v>157</v>
      </c>
      <c r="B35" s="42" t="s">
        <v>260</v>
      </c>
      <c r="C35" s="244">
        <v>430</v>
      </c>
      <c r="D35" s="42">
        <v>412</v>
      </c>
      <c r="E35" s="244">
        <v>422</v>
      </c>
      <c r="F35" s="244">
        <v>420</v>
      </c>
      <c r="G35" s="42">
        <v>394</v>
      </c>
      <c r="H35" s="42"/>
      <c r="I35" s="42"/>
      <c r="J35" s="42"/>
      <c r="K35" s="42">
        <v>411</v>
      </c>
      <c r="L35" s="42"/>
      <c r="M35" s="304">
        <f t="shared" si="3"/>
        <v>2489</v>
      </c>
      <c r="N35" s="101">
        <v>3</v>
      </c>
      <c r="O35" s="101">
        <v>5</v>
      </c>
      <c r="P35" s="101">
        <v>-14</v>
      </c>
      <c r="Q35" s="101">
        <v>0</v>
      </c>
      <c r="T35" s="150">
        <v>1</v>
      </c>
    </row>
    <row r="36" spans="1:18" s="114" customFormat="1" ht="15.75">
      <c r="A36" s="26" t="s">
        <v>158</v>
      </c>
      <c r="B36" s="57" t="s">
        <v>209</v>
      </c>
      <c r="C36" s="243">
        <v>417</v>
      </c>
      <c r="D36" s="43">
        <v>394</v>
      </c>
      <c r="E36" s="43">
        <v>397</v>
      </c>
      <c r="F36" s="43">
        <v>383</v>
      </c>
      <c r="G36" s="243">
        <v>407</v>
      </c>
      <c r="H36" s="243">
        <v>400</v>
      </c>
      <c r="I36" s="43"/>
      <c r="J36" s="43"/>
      <c r="K36" s="43"/>
      <c r="L36" s="43"/>
      <c r="M36" s="112">
        <f t="shared" si="3"/>
        <v>2398</v>
      </c>
      <c r="N36" s="110">
        <v>5</v>
      </c>
      <c r="O36" s="110">
        <v>3</v>
      </c>
      <c r="P36" s="110">
        <v>1</v>
      </c>
      <c r="Q36" s="110">
        <v>2</v>
      </c>
      <c r="R36" s="114">
        <v>1</v>
      </c>
    </row>
    <row r="37" spans="1:18" s="148" customFormat="1" ht="15.75">
      <c r="A37" s="100" t="s">
        <v>159</v>
      </c>
      <c r="B37" s="121" t="s">
        <v>16</v>
      </c>
      <c r="C37" s="258">
        <v>425</v>
      </c>
      <c r="D37" s="258">
        <v>432</v>
      </c>
      <c r="E37" s="120"/>
      <c r="F37" s="120">
        <v>390</v>
      </c>
      <c r="G37" s="258">
        <v>420</v>
      </c>
      <c r="H37" s="120">
        <v>387</v>
      </c>
      <c r="I37" s="120"/>
      <c r="J37" s="120"/>
      <c r="K37" s="258">
        <v>442</v>
      </c>
      <c r="L37" s="120"/>
      <c r="M37" s="147">
        <f t="shared" si="3"/>
        <v>2496</v>
      </c>
      <c r="N37" s="145">
        <v>6</v>
      </c>
      <c r="O37" s="145">
        <v>2</v>
      </c>
      <c r="P37" s="145">
        <v>13</v>
      </c>
      <c r="Q37" s="145">
        <v>2</v>
      </c>
      <c r="R37" s="148">
        <v>1</v>
      </c>
    </row>
    <row r="38" spans="1:20" s="114" customFormat="1" ht="15.75">
      <c r="A38" s="26" t="s">
        <v>160</v>
      </c>
      <c r="B38" s="57" t="s">
        <v>205</v>
      </c>
      <c r="C38" s="243">
        <v>451</v>
      </c>
      <c r="D38" s="43">
        <v>388</v>
      </c>
      <c r="E38" s="43">
        <v>413</v>
      </c>
      <c r="F38" s="43">
        <v>418</v>
      </c>
      <c r="G38" s="243">
        <v>436</v>
      </c>
      <c r="H38" s="43">
        <v>403</v>
      </c>
      <c r="I38" s="43"/>
      <c r="J38" s="43"/>
      <c r="K38" s="43"/>
      <c r="L38" s="43"/>
      <c r="M38" s="112">
        <f t="shared" si="3"/>
        <v>2509</v>
      </c>
      <c r="N38" s="110">
        <v>2</v>
      </c>
      <c r="O38" s="110">
        <v>6</v>
      </c>
      <c r="P38" s="110">
        <f>M38-2537</f>
        <v>-28</v>
      </c>
      <c r="Q38" s="110">
        <v>0</v>
      </c>
      <c r="T38" s="114">
        <v>1</v>
      </c>
    </row>
    <row r="39" spans="1:20" s="104" customFormat="1" ht="15.75">
      <c r="A39" s="19" t="s">
        <v>161</v>
      </c>
      <c r="B39" s="137" t="s">
        <v>21</v>
      </c>
      <c r="C39" s="244">
        <v>433</v>
      </c>
      <c r="D39" s="42">
        <v>395</v>
      </c>
      <c r="E39" s="42">
        <v>415</v>
      </c>
      <c r="F39" s="42">
        <v>403</v>
      </c>
      <c r="G39" s="42">
        <v>185</v>
      </c>
      <c r="H39" s="42"/>
      <c r="I39" s="42">
        <v>202</v>
      </c>
      <c r="J39" s="42"/>
      <c r="K39" s="42">
        <v>415</v>
      </c>
      <c r="L39" s="42"/>
      <c r="M39" s="102">
        <f t="shared" si="3"/>
        <v>2448</v>
      </c>
      <c r="N39" s="100">
        <v>1</v>
      </c>
      <c r="O39" s="100">
        <v>7</v>
      </c>
      <c r="P39" s="100">
        <v>-180</v>
      </c>
      <c r="Q39" s="100">
        <v>0</v>
      </c>
      <c r="T39" s="104">
        <v>1</v>
      </c>
    </row>
    <row r="40" spans="1:20" s="114" customFormat="1" ht="15.75">
      <c r="A40" s="26" t="s">
        <v>162</v>
      </c>
      <c r="B40" s="57" t="s">
        <v>26</v>
      </c>
      <c r="C40" s="43">
        <v>474</v>
      </c>
      <c r="D40" s="43">
        <v>401</v>
      </c>
      <c r="E40" s="43"/>
      <c r="F40" s="43">
        <v>410</v>
      </c>
      <c r="G40" s="43">
        <v>413</v>
      </c>
      <c r="H40" s="43">
        <v>413</v>
      </c>
      <c r="I40" s="43"/>
      <c r="J40" s="43">
        <v>387</v>
      </c>
      <c r="K40" s="43"/>
      <c r="L40" s="43"/>
      <c r="M40" s="112">
        <f t="shared" si="3"/>
        <v>2498</v>
      </c>
      <c r="N40" s="110">
        <v>1</v>
      </c>
      <c r="O40" s="110">
        <v>7</v>
      </c>
      <c r="P40" s="110">
        <v>-169</v>
      </c>
      <c r="Q40" s="110">
        <v>0</v>
      </c>
      <c r="T40" s="114">
        <v>1</v>
      </c>
    </row>
    <row r="41" spans="1:18" s="104" customFormat="1" ht="15.75">
      <c r="A41" s="19" t="s">
        <v>163</v>
      </c>
      <c r="B41" s="137" t="s">
        <v>208</v>
      </c>
      <c r="C41" s="244">
        <v>481</v>
      </c>
      <c r="D41" s="244">
        <v>426</v>
      </c>
      <c r="E41" s="42"/>
      <c r="F41" s="244">
        <v>423</v>
      </c>
      <c r="G41" s="244">
        <v>435</v>
      </c>
      <c r="H41" s="42">
        <v>393</v>
      </c>
      <c r="I41" s="42"/>
      <c r="J41" s="42"/>
      <c r="K41" s="42">
        <v>415</v>
      </c>
      <c r="L41" s="42"/>
      <c r="M41" s="102">
        <f t="shared" si="3"/>
        <v>2573</v>
      </c>
      <c r="N41" s="100">
        <v>6</v>
      </c>
      <c r="O41" s="100">
        <v>2</v>
      </c>
      <c r="P41" s="100">
        <v>5</v>
      </c>
      <c r="Q41" s="100">
        <v>2</v>
      </c>
      <c r="R41" s="104">
        <v>1</v>
      </c>
    </row>
    <row r="42" spans="1:18" s="114" customFormat="1" ht="15.75">
      <c r="A42" s="26" t="s">
        <v>164</v>
      </c>
      <c r="B42" s="57" t="s">
        <v>206</v>
      </c>
      <c r="C42" s="243">
        <v>441</v>
      </c>
      <c r="D42" s="43">
        <v>377</v>
      </c>
      <c r="E42" s="243">
        <v>443</v>
      </c>
      <c r="F42" s="243">
        <v>438</v>
      </c>
      <c r="G42" s="43">
        <v>424</v>
      </c>
      <c r="H42" s="43"/>
      <c r="I42" s="43"/>
      <c r="J42" s="43"/>
      <c r="K42" s="243">
        <v>460</v>
      </c>
      <c r="L42" s="43"/>
      <c r="M42" s="112">
        <f t="shared" si="3"/>
        <v>2583</v>
      </c>
      <c r="N42" s="110">
        <v>6</v>
      </c>
      <c r="O42" s="110">
        <v>2</v>
      </c>
      <c r="P42" s="110">
        <v>97</v>
      </c>
      <c r="Q42" s="110">
        <v>2</v>
      </c>
      <c r="R42" s="114">
        <v>1</v>
      </c>
    </row>
    <row r="43" spans="1:20" s="23" customFormat="1" ht="15.75">
      <c r="A43" s="145" t="s">
        <v>165</v>
      </c>
      <c r="B43" s="153" t="s">
        <v>20</v>
      </c>
      <c r="C43" s="257">
        <v>429</v>
      </c>
      <c r="D43" s="146">
        <v>408</v>
      </c>
      <c r="E43" s="257">
        <v>456</v>
      </c>
      <c r="F43" s="146">
        <v>413</v>
      </c>
      <c r="G43" s="146">
        <v>210</v>
      </c>
      <c r="H43" s="146">
        <v>182</v>
      </c>
      <c r="I43" s="146"/>
      <c r="J43" s="146"/>
      <c r="K43" s="257">
        <v>462</v>
      </c>
      <c r="L43" s="146"/>
      <c r="M43" s="69">
        <f t="shared" si="3"/>
        <v>2560</v>
      </c>
      <c r="N43" s="19">
        <v>3</v>
      </c>
      <c r="O43" s="19">
        <v>5</v>
      </c>
      <c r="P43" s="19">
        <v>-15</v>
      </c>
      <c r="Q43" s="19">
        <v>0</v>
      </c>
      <c r="T43" s="23">
        <v>1</v>
      </c>
    </row>
    <row r="44" spans="1:18" s="114" customFormat="1" ht="15.75">
      <c r="A44" s="26" t="s">
        <v>265</v>
      </c>
      <c r="B44" s="43" t="s">
        <v>22</v>
      </c>
      <c r="C44" s="243">
        <v>425</v>
      </c>
      <c r="D44" s="243">
        <v>424</v>
      </c>
      <c r="E44" s="43"/>
      <c r="F44" s="243">
        <v>413</v>
      </c>
      <c r="G44" s="43"/>
      <c r="H44" s="43">
        <v>387</v>
      </c>
      <c r="I44" s="243">
        <v>418</v>
      </c>
      <c r="J44" s="43">
        <v>408</v>
      </c>
      <c r="K44" s="43"/>
      <c r="L44" s="43"/>
      <c r="M44" s="112">
        <f t="shared" si="3"/>
        <v>2475</v>
      </c>
      <c r="N44" s="110">
        <v>6</v>
      </c>
      <c r="O44" s="110">
        <v>2</v>
      </c>
      <c r="P44" s="110">
        <v>18</v>
      </c>
      <c r="Q44" s="110">
        <v>2</v>
      </c>
      <c r="R44" s="114">
        <v>1</v>
      </c>
    </row>
    <row r="45" spans="1:18" s="148" customFormat="1" ht="15.75">
      <c r="A45" s="100" t="s">
        <v>266</v>
      </c>
      <c r="B45" s="121" t="s">
        <v>196</v>
      </c>
      <c r="C45" s="258">
        <v>438</v>
      </c>
      <c r="D45" s="120">
        <v>373</v>
      </c>
      <c r="E45" s="120"/>
      <c r="F45" s="258">
        <v>425</v>
      </c>
      <c r="G45" s="120">
        <v>407</v>
      </c>
      <c r="H45" s="120"/>
      <c r="I45" s="258">
        <v>427</v>
      </c>
      <c r="J45" s="120"/>
      <c r="K45" s="258">
        <v>454</v>
      </c>
      <c r="L45" s="120"/>
      <c r="M45" s="147">
        <f t="shared" si="3"/>
        <v>2524</v>
      </c>
      <c r="N45" s="145">
        <v>6</v>
      </c>
      <c r="O45" s="145">
        <v>2</v>
      </c>
      <c r="P45" s="145">
        <v>156</v>
      </c>
      <c r="Q45" s="145">
        <v>2</v>
      </c>
      <c r="R45" s="148">
        <v>1</v>
      </c>
    </row>
    <row r="46" spans="1:19" s="114" customFormat="1" ht="15.75">
      <c r="A46" s="26" t="s">
        <v>303</v>
      </c>
      <c r="B46" s="57" t="s">
        <v>19</v>
      </c>
      <c r="C46" s="337">
        <v>436</v>
      </c>
      <c r="D46" s="43">
        <v>393</v>
      </c>
      <c r="E46" s="43"/>
      <c r="F46" s="337">
        <v>419</v>
      </c>
      <c r="G46" s="337">
        <v>442</v>
      </c>
      <c r="H46" s="43">
        <v>351</v>
      </c>
      <c r="I46" s="337">
        <v>430</v>
      </c>
      <c r="J46" s="43"/>
      <c r="K46" s="43"/>
      <c r="L46" s="43"/>
      <c r="M46" s="112">
        <f t="shared" si="3"/>
        <v>2471</v>
      </c>
      <c r="N46" s="110">
        <v>4</v>
      </c>
      <c r="O46" s="110">
        <v>4</v>
      </c>
      <c r="P46" s="110">
        <v>-41</v>
      </c>
      <c r="Q46" s="110">
        <v>1</v>
      </c>
      <c r="S46" s="114">
        <v>1</v>
      </c>
    </row>
    <row r="47" spans="1:20" s="104" customFormat="1" ht="16.5" thickBot="1">
      <c r="A47" s="19" t="s">
        <v>304</v>
      </c>
      <c r="B47" s="137" t="s">
        <v>264</v>
      </c>
      <c r="C47" s="301">
        <v>401</v>
      </c>
      <c r="D47" s="381">
        <v>432</v>
      </c>
      <c r="E47" s="381">
        <v>436</v>
      </c>
      <c r="F47" s="301">
        <v>429</v>
      </c>
      <c r="G47" s="381">
        <v>448</v>
      </c>
      <c r="H47" s="301"/>
      <c r="I47" s="381">
        <v>436</v>
      </c>
      <c r="J47" s="301"/>
      <c r="K47" s="301"/>
      <c r="L47" s="301"/>
      <c r="M47" s="102">
        <f t="shared" si="3"/>
        <v>2582</v>
      </c>
      <c r="N47" s="107">
        <v>6</v>
      </c>
      <c r="O47" s="107">
        <v>2</v>
      </c>
      <c r="P47" s="107">
        <f>M47-2551</f>
        <v>31</v>
      </c>
      <c r="Q47" s="107">
        <v>2</v>
      </c>
      <c r="R47" s="127">
        <v>1</v>
      </c>
      <c r="S47" s="127"/>
      <c r="T47" s="127"/>
    </row>
    <row r="48" spans="3:20" ht="16.5" thickTop="1">
      <c r="C48" s="7">
        <f aca="true" t="shared" si="4" ref="C48:L48">SUM(C31:C47)</f>
        <v>6944</v>
      </c>
      <c r="D48" s="7">
        <f t="shared" si="4"/>
        <v>6481</v>
      </c>
      <c r="E48" s="7">
        <f t="shared" si="4"/>
        <v>3890</v>
      </c>
      <c r="F48" s="7">
        <f t="shared" si="4"/>
        <v>5812</v>
      </c>
      <c r="G48" s="7">
        <f>SUM(G40:G42)+SUM(G31:G38)+SUM(G44:G47)</f>
        <v>5544</v>
      </c>
      <c r="H48" s="7">
        <f>SUM(H31:H42)+SUM(H44:H47)</f>
        <v>3924</v>
      </c>
      <c r="I48" s="7">
        <f>SUM(I41:I47)</f>
        <v>1711</v>
      </c>
      <c r="J48" s="7">
        <f t="shared" si="4"/>
        <v>1125</v>
      </c>
      <c r="K48" s="7">
        <f t="shared" si="4"/>
        <v>3492</v>
      </c>
      <c r="L48" s="7">
        <f t="shared" si="4"/>
        <v>395</v>
      </c>
      <c r="N48" s="1">
        <f>SUM(N31:N47)</f>
        <v>67</v>
      </c>
      <c r="O48" s="1">
        <f>SUM(O31:O47)</f>
        <v>61</v>
      </c>
      <c r="P48" s="1">
        <f>SUM(P31:P47)</f>
        <v>-344</v>
      </c>
      <c r="Q48" s="1">
        <f>SUM(Q31:Q47)</f>
        <v>19</v>
      </c>
      <c r="R48" s="1">
        <f>SUM(R31:R47)+R23</f>
        <v>18</v>
      </c>
      <c r="S48" s="1">
        <f>SUM(S31:S47)+S23</f>
        <v>1</v>
      </c>
      <c r="T48" s="1">
        <f>SUM(T31:T47)+T23</f>
        <v>13</v>
      </c>
    </row>
    <row r="49" spans="2:12" ht="15.75">
      <c r="B49" s="67" t="s">
        <v>250</v>
      </c>
      <c r="C49" s="1">
        <f>COUNT(C31:C47)</f>
        <v>16</v>
      </c>
      <c r="D49" s="1">
        <f aca="true" t="shared" si="5" ref="D49:L49">COUNT(D31:D47)</f>
        <v>16</v>
      </c>
      <c r="E49" s="1">
        <f t="shared" si="5"/>
        <v>9</v>
      </c>
      <c r="F49" s="1">
        <f t="shared" si="5"/>
        <v>14</v>
      </c>
      <c r="G49" s="1">
        <f>COUNT(G40:G42)+COUNT(G31:G38)+COUNT(G44:G47)</f>
        <v>13</v>
      </c>
      <c r="H49" s="1">
        <f>COUNT(H31:H42)+COUNT(H44:H47)</f>
        <v>10</v>
      </c>
      <c r="I49" s="1">
        <f>COUNT(I41:I47)</f>
        <v>4</v>
      </c>
      <c r="J49" s="1">
        <f t="shared" si="5"/>
        <v>3</v>
      </c>
      <c r="K49" s="1">
        <f t="shared" si="5"/>
        <v>8</v>
      </c>
      <c r="L49" s="1">
        <f t="shared" si="5"/>
        <v>1</v>
      </c>
    </row>
    <row r="50" spans="2:20" ht="31.5">
      <c r="B50" s="11" t="s">
        <v>247</v>
      </c>
      <c r="C50" s="16">
        <f aca="true" t="shared" si="6" ref="C50:I50">C48/C49</f>
        <v>434</v>
      </c>
      <c r="D50" s="16">
        <f t="shared" si="6"/>
        <v>405.0625</v>
      </c>
      <c r="E50" s="16">
        <f t="shared" si="6"/>
        <v>432.22222222222223</v>
      </c>
      <c r="F50" s="16">
        <f t="shared" si="6"/>
        <v>415.14285714285717</v>
      </c>
      <c r="G50" s="16">
        <f t="shared" si="6"/>
        <v>426.46153846153845</v>
      </c>
      <c r="H50" s="16">
        <f t="shared" si="6"/>
        <v>392.4</v>
      </c>
      <c r="I50" s="16">
        <f t="shared" si="6"/>
        <v>427.75</v>
      </c>
      <c r="J50" s="16">
        <f>J48/J49</f>
        <v>375</v>
      </c>
      <c r="K50" s="16">
        <f>K48/K49</f>
        <v>436.5</v>
      </c>
      <c r="L50" s="16">
        <f>L48/L49</f>
        <v>395</v>
      </c>
      <c r="M50" s="3" t="s">
        <v>30</v>
      </c>
      <c r="N50" s="371" t="s">
        <v>115</v>
      </c>
      <c r="O50" s="371"/>
      <c r="P50" s="3" t="s">
        <v>31</v>
      </c>
      <c r="Q50" s="10" t="s">
        <v>116</v>
      </c>
      <c r="S50" s="74" t="s">
        <v>126</v>
      </c>
      <c r="T50" s="74" t="s">
        <v>223</v>
      </c>
    </row>
    <row r="51" spans="12:20" ht="15.75">
      <c r="L51" s="16"/>
      <c r="M51" s="6">
        <f>SUM(M31:M47)+M26</f>
        <v>80654</v>
      </c>
      <c r="N51" s="6">
        <f>SUM(N31:N47)+N26</f>
        <v>140</v>
      </c>
      <c r="O51" s="6">
        <f>SUM(O31:O47)+O26</f>
        <v>116</v>
      </c>
      <c r="P51" s="6">
        <f>SUM(P31:P47)+P26</f>
        <v>-45</v>
      </c>
      <c r="Q51" s="6">
        <f>SUM(Q31:Q47)+Q26</f>
        <v>37</v>
      </c>
      <c r="S51" s="2">
        <f>N51-O51</f>
        <v>24</v>
      </c>
      <c r="T51" s="2">
        <f>SUM(R48:T48)</f>
        <v>32</v>
      </c>
    </row>
    <row r="53" spans="13:14" ht="15.75">
      <c r="M53" s="1" t="s">
        <v>128</v>
      </c>
      <c r="N53" s="18">
        <f>M51/T51</f>
        <v>2520.4375</v>
      </c>
    </row>
  </sheetData>
  <sheetProtection/>
  <mergeCells count="11">
    <mergeCell ref="E1:F1"/>
    <mergeCell ref="K2:L2"/>
    <mergeCell ref="H1:I1"/>
    <mergeCell ref="K1:L1"/>
    <mergeCell ref="N50:O50"/>
    <mergeCell ref="F27:G27"/>
    <mergeCell ref="C4:L4"/>
    <mergeCell ref="N4:O4"/>
    <mergeCell ref="C27:D27"/>
    <mergeCell ref="N25:O25"/>
    <mergeCell ref="I27:J27"/>
  </mergeCells>
  <printOptions/>
  <pageMargins left="0.75" right="0.75" top="1" bottom="1" header="0.5" footer="0.5"/>
  <pageSetup horizontalDpi="600" verticalDpi="600" orientation="portrait" paperSize="9" r:id="rId3"/>
  <ignoredErrors>
    <ignoredError sqref="M15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zoomScale="90" zoomScaleNormal="90" zoomScalePageLayoutView="0" workbookViewId="0" topLeftCell="B28">
      <selection activeCell="D41" sqref="D41"/>
    </sheetView>
  </sheetViews>
  <sheetFormatPr defaultColWidth="9.00390625" defaultRowHeight="12.75"/>
  <cols>
    <col min="1" max="1" width="12.375" style="1" customWidth="1"/>
    <col min="2" max="2" width="17.875" style="1" customWidth="1"/>
    <col min="3" max="3" width="8.00390625" style="1" customWidth="1"/>
    <col min="4" max="4" width="8.25390625" style="1" customWidth="1"/>
    <col min="5" max="5" width="9.875" style="1" customWidth="1"/>
    <col min="6" max="9" width="9.125" style="1" customWidth="1"/>
    <col min="10" max="10" width="10.125" style="1" customWidth="1"/>
    <col min="11" max="11" width="11.625" style="1" customWidth="1"/>
    <col min="12" max="12" width="9.375" style="1" customWidth="1"/>
    <col min="13" max="13" width="9.125" style="1" customWidth="1"/>
    <col min="14" max="14" width="18.00390625" style="1" customWidth="1"/>
    <col min="15" max="15" width="11.25390625" style="1" customWidth="1"/>
    <col min="16" max="16" width="10.375" style="1" customWidth="1"/>
    <col min="17" max="17" width="15.375" style="1" customWidth="1"/>
    <col min="18" max="18" width="11.875" style="1" customWidth="1"/>
    <col min="20" max="20" width="14.00390625" style="0" customWidth="1"/>
    <col min="21" max="21" width="11.00390625" style="0" customWidth="1"/>
  </cols>
  <sheetData>
    <row r="1" spans="1:15" ht="15.75">
      <c r="A1" s="58" t="s">
        <v>141</v>
      </c>
      <c r="B1" s="59"/>
      <c r="C1" s="59" t="s">
        <v>138</v>
      </c>
      <c r="D1" s="59"/>
      <c r="E1" s="59" t="s">
        <v>142</v>
      </c>
      <c r="F1" s="372" t="s">
        <v>140</v>
      </c>
      <c r="G1" s="372"/>
      <c r="I1" s="368" t="s">
        <v>151</v>
      </c>
      <c r="J1" s="368"/>
      <c r="K1" s="11" t="s">
        <v>152</v>
      </c>
      <c r="L1" s="368" t="s">
        <v>126</v>
      </c>
      <c r="M1" s="368"/>
      <c r="N1" s="1" t="s">
        <v>128</v>
      </c>
      <c r="O1" s="18">
        <f>N26/U26</f>
        <v>2538.375</v>
      </c>
    </row>
    <row r="2" spans="9:15" ht="15.75">
      <c r="I2" s="1">
        <f>O26+O49</f>
        <v>121</v>
      </c>
      <c r="J2" s="1">
        <f>P26+P49</f>
        <v>135</v>
      </c>
      <c r="K2" s="1">
        <f>R26+R49</f>
        <v>31</v>
      </c>
      <c r="L2" s="374">
        <f>I2-J2</f>
        <v>-14</v>
      </c>
      <c r="M2" s="374"/>
      <c r="N2" s="1" t="s">
        <v>234</v>
      </c>
      <c r="O2" s="6">
        <f>N7+N9+N11+N14+N16+N18+N20+N22</f>
        <v>20250</v>
      </c>
    </row>
    <row r="4" spans="3:21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O4" s="371" t="s">
        <v>28</v>
      </c>
      <c r="P4" s="371"/>
      <c r="S4" s="2"/>
      <c r="T4" s="2"/>
      <c r="U4" s="2"/>
    </row>
    <row r="5" spans="2:21" ht="36.75" customHeight="1" thickBot="1">
      <c r="B5" s="3" t="s">
        <v>25</v>
      </c>
      <c r="C5" s="8" t="s">
        <v>149</v>
      </c>
      <c r="D5" s="302" t="s">
        <v>193</v>
      </c>
      <c r="E5" s="8" t="s">
        <v>46</v>
      </c>
      <c r="F5" s="8" t="s">
        <v>47</v>
      </c>
      <c r="G5" s="8" t="s">
        <v>48</v>
      </c>
      <c r="H5" s="8" t="s">
        <v>49</v>
      </c>
      <c r="I5" s="8" t="s">
        <v>130</v>
      </c>
      <c r="J5" s="8" t="s">
        <v>118</v>
      </c>
      <c r="K5" s="8" t="s">
        <v>119</v>
      </c>
      <c r="L5" s="8" t="s">
        <v>121</v>
      </c>
      <c r="M5" s="73"/>
      <c r="N5" s="5" t="s">
        <v>30</v>
      </c>
      <c r="O5" s="3" t="s">
        <v>15</v>
      </c>
      <c r="P5" s="3" t="s">
        <v>29</v>
      </c>
      <c r="Q5" s="3" t="s">
        <v>31</v>
      </c>
      <c r="R5" s="10" t="s">
        <v>114</v>
      </c>
      <c r="S5" s="2" t="s">
        <v>184</v>
      </c>
      <c r="T5" s="2" t="s">
        <v>185</v>
      </c>
      <c r="U5" s="2" t="s">
        <v>186</v>
      </c>
    </row>
    <row r="6" spans="1:21" s="104" customFormat="1" ht="15.75">
      <c r="A6" s="19" t="s">
        <v>0</v>
      </c>
      <c r="B6" s="137" t="s">
        <v>206</v>
      </c>
      <c r="C6" s="137"/>
      <c r="D6" s="244">
        <v>431</v>
      </c>
      <c r="E6" s="244">
        <v>445</v>
      </c>
      <c r="F6" s="42"/>
      <c r="G6" s="42">
        <v>393</v>
      </c>
      <c r="H6" s="244">
        <v>462</v>
      </c>
      <c r="I6" s="42">
        <v>417</v>
      </c>
      <c r="J6" s="42"/>
      <c r="K6" s="42"/>
      <c r="L6" s="42">
        <v>429</v>
      </c>
      <c r="M6" s="42"/>
      <c r="N6" s="189">
        <f aca="true" t="shared" si="0" ref="N6:N12">SUM(C6:M6)</f>
        <v>2577</v>
      </c>
      <c r="O6" s="100">
        <v>3</v>
      </c>
      <c r="P6" s="100">
        <v>5</v>
      </c>
      <c r="Q6" s="154">
        <v>-20</v>
      </c>
      <c r="R6" s="100">
        <v>0</v>
      </c>
      <c r="S6" s="103"/>
      <c r="T6" s="103"/>
      <c r="U6" s="103">
        <v>1</v>
      </c>
    </row>
    <row r="7" spans="1:21" s="114" customFormat="1" ht="15.75">
      <c r="A7" s="26" t="s">
        <v>1</v>
      </c>
      <c r="B7" s="57" t="s">
        <v>20</v>
      </c>
      <c r="C7" s="57"/>
      <c r="D7" s="251">
        <v>437</v>
      </c>
      <c r="E7" s="47">
        <v>183</v>
      </c>
      <c r="F7" s="47"/>
      <c r="G7" s="43">
        <v>234</v>
      </c>
      <c r="H7" s="47">
        <v>403</v>
      </c>
      <c r="I7" s="251">
        <v>424</v>
      </c>
      <c r="J7" s="47">
        <v>403</v>
      </c>
      <c r="K7" s="47"/>
      <c r="L7" s="251">
        <v>433</v>
      </c>
      <c r="M7" s="39"/>
      <c r="N7" s="186">
        <f t="shared" si="0"/>
        <v>2517</v>
      </c>
      <c r="O7" s="110">
        <v>5</v>
      </c>
      <c r="P7" s="110">
        <v>3</v>
      </c>
      <c r="Q7" s="109">
        <f>N7-2427</f>
        <v>90</v>
      </c>
      <c r="R7" s="110">
        <v>2</v>
      </c>
      <c r="S7" s="113">
        <v>1</v>
      </c>
      <c r="T7" s="113"/>
      <c r="U7" s="113"/>
    </row>
    <row r="8" spans="1:21" s="104" customFormat="1" ht="15.75">
      <c r="A8" s="145" t="s">
        <v>2</v>
      </c>
      <c r="B8" s="121" t="s">
        <v>22</v>
      </c>
      <c r="C8" s="121">
        <v>366</v>
      </c>
      <c r="D8" s="258">
        <v>411</v>
      </c>
      <c r="E8" s="120">
        <v>409</v>
      </c>
      <c r="F8" s="120"/>
      <c r="G8" s="258">
        <v>445</v>
      </c>
      <c r="H8" s="120"/>
      <c r="I8" s="120"/>
      <c r="J8" s="120">
        <v>374</v>
      </c>
      <c r="K8" s="120"/>
      <c r="L8" s="258">
        <v>448</v>
      </c>
      <c r="M8" s="120"/>
      <c r="N8" s="189">
        <f t="shared" si="0"/>
        <v>2453</v>
      </c>
      <c r="O8" s="100">
        <v>5</v>
      </c>
      <c r="P8" s="100">
        <v>3</v>
      </c>
      <c r="Q8" s="154">
        <f>N8-2409</f>
        <v>44</v>
      </c>
      <c r="R8" s="100">
        <v>2</v>
      </c>
      <c r="S8" s="103">
        <v>1</v>
      </c>
      <c r="T8" s="103"/>
      <c r="U8" s="103"/>
    </row>
    <row r="9" spans="1:21" s="114" customFormat="1" ht="15.75">
      <c r="A9" s="26" t="s">
        <v>3</v>
      </c>
      <c r="B9" s="152" t="s">
        <v>196</v>
      </c>
      <c r="C9" s="152"/>
      <c r="D9" s="138"/>
      <c r="E9" s="265">
        <v>436</v>
      </c>
      <c r="F9" s="138">
        <v>399</v>
      </c>
      <c r="G9" s="138">
        <v>185</v>
      </c>
      <c r="H9" s="265">
        <v>418</v>
      </c>
      <c r="I9" s="265">
        <v>453</v>
      </c>
      <c r="J9" s="138">
        <v>186</v>
      </c>
      <c r="K9" s="138"/>
      <c r="L9" s="265">
        <v>437</v>
      </c>
      <c r="M9" s="138"/>
      <c r="N9" s="186">
        <f t="shared" si="0"/>
        <v>2514</v>
      </c>
      <c r="O9" s="110">
        <v>6</v>
      </c>
      <c r="P9" s="110">
        <v>2</v>
      </c>
      <c r="Q9" s="109">
        <v>69</v>
      </c>
      <c r="R9" s="110">
        <v>2</v>
      </c>
      <c r="S9" s="113">
        <v>1</v>
      </c>
      <c r="T9" s="113"/>
      <c r="U9" s="113"/>
    </row>
    <row r="10" spans="1:21" s="104" customFormat="1" ht="15.75">
      <c r="A10" s="145" t="s">
        <v>4</v>
      </c>
      <c r="B10" s="153" t="s">
        <v>19</v>
      </c>
      <c r="C10" s="153"/>
      <c r="D10" s="146">
        <v>395</v>
      </c>
      <c r="E10" s="146"/>
      <c r="F10" s="146">
        <v>397</v>
      </c>
      <c r="G10" s="146">
        <v>413</v>
      </c>
      <c r="H10" s="257">
        <v>421</v>
      </c>
      <c r="I10" s="257">
        <v>444</v>
      </c>
      <c r="J10" s="146"/>
      <c r="K10" s="146"/>
      <c r="L10" s="257">
        <v>421</v>
      </c>
      <c r="M10" s="146"/>
      <c r="N10" s="189">
        <f>SUM(C10:M10)</f>
        <v>2491</v>
      </c>
      <c r="O10" s="100">
        <v>3</v>
      </c>
      <c r="P10" s="100">
        <v>5</v>
      </c>
      <c r="Q10" s="154">
        <f>N10-2538</f>
        <v>-47</v>
      </c>
      <c r="R10" s="100">
        <v>0</v>
      </c>
      <c r="S10" s="103"/>
      <c r="T10" s="103"/>
      <c r="U10" s="103">
        <v>1</v>
      </c>
    </row>
    <row r="11" spans="1:21" s="30" customFormat="1" ht="15.75">
      <c r="A11" s="26" t="s">
        <v>5</v>
      </c>
      <c r="B11" s="57" t="s">
        <v>275</v>
      </c>
      <c r="C11" s="57"/>
      <c r="D11" s="243">
        <v>431</v>
      </c>
      <c r="E11" s="243">
        <v>427</v>
      </c>
      <c r="F11" s="43">
        <v>412</v>
      </c>
      <c r="G11" s="43"/>
      <c r="H11" s="43">
        <v>401</v>
      </c>
      <c r="I11" s="43">
        <v>422</v>
      </c>
      <c r="J11" s="43"/>
      <c r="K11" s="43"/>
      <c r="L11" s="243">
        <v>460</v>
      </c>
      <c r="M11" s="43"/>
      <c r="N11" s="40">
        <f t="shared" si="0"/>
        <v>2553</v>
      </c>
      <c r="O11" s="26">
        <v>3</v>
      </c>
      <c r="P11" s="26">
        <v>5</v>
      </c>
      <c r="Q11" s="26">
        <v>-6</v>
      </c>
      <c r="R11" s="26">
        <v>0</v>
      </c>
      <c r="S11" s="29"/>
      <c r="T11" s="29"/>
      <c r="U11" s="29">
        <v>1</v>
      </c>
    </row>
    <row r="12" spans="1:21" s="104" customFormat="1" ht="15.75">
      <c r="A12" s="145" t="s">
        <v>6</v>
      </c>
      <c r="B12" s="121" t="s">
        <v>17</v>
      </c>
      <c r="C12" s="121"/>
      <c r="D12" s="258">
        <v>442</v>
      </c>
      <c r="E12" s="120">
        <v>426</v>
      </c>
      <c r="F12" s="120">
        <v>427</v>
      </c>
      <c r="G12" s="120">
        <v>408</v>
      </c>
      <c r="H12" s="120"/>
      <c r="I12" s="120">
        <v>400</v>
      </c>
      <c r="J12" s="120"/>
      <c r="K12" s="120"/>
      <c r="L12" s="258">
        <v>446</v>
      </c>
      <c r="M12" s="120"/>
      <c r="N12" s="189">
        <f t="shared" si="0"/>
        <v>2549</v>
      </c>
      <c r="O12" s="100">
        <v>2</v>
      </c>
      <c r="P12" s="100">
        <v>6</v>
      </c>
      <c r="Q12" s="154">
        <v>-74</v>
      </c>
      <c r="R12" s="100">
        <v>0</v>
      </c>
      <c r="S12" s="103"/>
      <c r="T12" s="103"/>
      <c r="U12" s="103">
        <v>1</v>
      </c>
    </row>
    <row r="13" spans="1:21" s="114" customFormat="1" ht="15.75">
      <c r="A13" s="110" t="s">
        <v>7</v>
      </c>
      <c r="B13" s="152" t="s">
        <v>255</v>
      </c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8"/>
      <c r="N13" s="186" t="s">
        <v>255</v>
      </c>
      <c r="O13" s="191"/>
      <c r="P13" s="191"/>
      <c r="Q13" s="192"/>
      <c r="R13" s="191"/>
      <c r="S13" s="193"/>
      <c r="T13" s="193"/>
      <c r="U13" s="193"/>
    </row>
    <row r="14" spans="1:21" s="114" customFormat="1" ht="15.75">
      <c r="A14" s="26" t="s">
        <v>8</v>
      </c>
      <c r="B14" s="152" t="s">
        <v>263</v>
      </c>
      <c r="C14" s="152"/>
      <c r="D14" s="265">
        <v>420</v>
      </c>
      <c r="E14" s="138">
        <v>176</v>
      </c>
      <c r="F14" s="138"/>
      <c r="G14" s="138">
        <v>400</v>
      </c>
      <c r="H14" s="138">
        <v>415</v>
      </c>
      <c r="I14" s="265">
        <v>439</v>
      </c>
      <c r="J14" s="138">
        <v>213</v>
      </c>
      <c r="K14" s="138"/>
      <c r="L14" s="265">
        <v>429</v>
      </c>
      <c r="M14" s="138"/>
      <c r="N14" s="186">
        <f aca="true" t="shared" si="1" ref="N14:N22">SUM(C14:M14)</f>
        <v>2492</v>
      </c>
      <c r="O14" s="110">
        <v>5</v>
      </c>
      <c r="P14" s="110">
        <v>3</v>
      </c>
      <c r="Q14" s="109">
        <v>70</v>
      </c>
      <c r="R14" s="110">
        <v>2</v>
      </c>
      <c r="S14" s="113">
        <v>1</v>
      </c>
      <c r="T14" s="113"/>
      <c r="U14" s="113"/>
    </row>
    <row r="15" spans="1:21" s="104" customFormat="1" ht="15.75">
      <c r="A15" s="145" t="s">
        <v>9</v>
      </c>
      <c r="B15" s="153" t="s">
        <v>23</v>
      </c>
      <c r="C15" s="153"/>
      <c r="D15" s="146">
        <v>409</v>
      </c>
      <c r="E15" s="146">
        <v>427</v>
      </c>
      <c r="F15" s="146">
        <v>414</v>
      </c>
      <c r="G15" s="146">
        <v>187</v>
      </c>
      <c r="H15" s="146"/>
      <c r="I15" s="257">
        <v>436</v>
      </c>
      <c r="J15" s="146">
        <v>183</v>
      </c>
      <c r="K15" s="146"/>
      <c r="L15" s="257">
        <v>493</v>
      </c>
      <c r="M15" s="146"/>
      <c r="N15" s="189">
        <f t="shared" si="1"/>
        <v>2549</v>
      </c>
      <c r="O15" s="100">
        <v>2</v>
      </c>
      <c r="P15" s="100">
        <v>6</v>
      </c>
      <c r="Q15" s="100">
        <v>-33</v>
      </c>
      <c r="R15" s="100">
        <v>0</v>
      </c>
      <c r="S15" s="103"/>
      <c r="T15" s="103"/>
      <c r="U15" s="103">
        <v>1</v>
      </c>
    </row>
    <row r="16" spans="1:21" s="114" customFormat="1" ht="15.75">
      <c r="A16" s="26" t="s">
        <v>10</v>
      </c>
      <c r="B16" s="57" t="s">
        <v>260</v>
      </c>
      <c r="C16" s="57"/>
      <c r="D16" s="43"/>
      <c r="E16" s="43">
        <v>386</v>
      </c>
      <c r="F16" s="243">
        <v>439</v>
      </c>
      <c r="G16" s="43">
        <v>402</v>
      </c>
      <c r="H16" s="43"/>
      <c r="I16" s="43">
        <v>424</v>
      </c>
      <c r="J16" s="43">
        <v>376</v>
      </c>
      <c r="K16" s="43"/>
      <c r="L16" s="243">
        <v>430</v>
      </c>
      <c r="M16" s="43"/>
      <c r="N16" s="186">
        <f t="shared" si="1"/>
        <v>2457</v>
      </c>
      <c r="O16" s="110">
        <v>2</v>
      </c>
      <c r="P16" s="110">
        <v>6</v>
      </c>
      <c r="Q16" s="109">
        <f>N16-2608</f>
        <v>-151</v>
      </c>
      <c r="R16" s="110">
        <v>0</v>
      </c>
      <c r="S16" s="113"/>
      <c r="T16" s="113"/>
      <c r="U16" s="113">
        <v>1</v>
      </c>
    </row>
    <row r="17" spans="1:21" s="104" customFormat="1" ht="15.75">
      <c r="A17" s="145" t="s">
        <v>11</v>
      </c>
      <c r="B17" s="121" t="s">
        <v>209</v>
      </c>
      <c r="C17" s="121"/>
      <c r="D17" s="258">
        <v>436</v>
      </c>
      <c r="E17" s="120"/>
      <c r="F17" s="258">
        <v>434</v>
      </c>
      <c r="G17" s="120"/>
      <c r="H17" s="258">
        <v>433</v>
      </c>
      <c r="I17" s="258">
        <v>419</v>
      </c>
      <c r="J17" s="120">
        <v>410</v>
      </c>
      <c r="K17" s="120"/>
      <c r="L17" s="258">
        <v>436</v>
      </c>
      <c r="M17" s="120"/>
      <c r="N17" s="189">
        <f t="shared" si="1"/>
        <v>2568</v>
      </c>
      <c r="O17" s="100">
        <v>7</v>
      </c>
      <c r="P17" s="100">
        <v>1</v>
      </c>
      <c r="Q17" s="154">
        <f>N17-2444</f>
        <v>124</v>
      </c>
      <c r="R17" s="100">
        <v>2</v>
      </c>
      <c r="S17" s="103">
        <v>1</v>
      </c>
      <c r="T17" s="103"/>
      <c r="U17" s="103"/>
    </row>
    <row r="18" spans="1:21" s="114" customFormat="1" ht="15.75">
      <c r="A18" s="26" t="s">
        <v>12</v>
      </c>
      <c r="B18" s="152" t="s">
        <v>16</v>
      </c>
      <c r="C18" s="152"/>
      <c r="D18" s="138">
        <v>387</v>
      </c>
      <c r="E18" s="138"/>
      <c r="F18" s="275">
        <v>438</v>
      </c>
      <c r="G18" s="138">
        <v>428</v>
      </c>
      <c r="H18" s="138">
        <v>433</v>
      </c>
      <c r="I18" s="265">
        <v>440</v>
      </c>
      <c r="J18" s="138"/>
      <c r="K18" s="138"/>
      <c r="L18" s="265">
        <v>465</v>
      </c>
      <c r="M18" s="138"/>
      <c r="N18" s="186">
        <f t="shared" si="1"/>
        <v>2591</v>
      </c>
      <c r="O18" s="110">
        <v>2</v>
      </c>
      <c r="P18" s="110">
        <v>6</v>
      </c>
      <c r="Q18" s="110">
        <v>-114</v>
      </c>
      <c r="R18" s="110">
        <v>0</v>
      </c>
      <c r="S18" s="113"/>
      <c r="T18" s="113"/>
      <c r="U18" s="113">
        <v>1</v>
      </c>
    </row>
    <row r="19" spans="1:21" s="23" customFormat="1" ht="15.75">
      <c r="A19" s="145" t="s">
        <v>13</v>
      </c>
      <c r="B19" s="153" t="s">
        <v>205</v>
      </c>
      <c r="C19" s="153"/>
      <c r="D19" s="146">
        <v>419</v>
      </c>
      <c r="E19" s="257">
        <v>452</v>
      </c>
      <c r="F19" s="257">
        <v>423</v>
      </c>
      <c r="G19" s="146"/>
      <c r="H19" s="146"/>
      <c r="I19" s="276">
        <v>479</v>
      </c>
      <c r="J19" s="146">
        <v>394</v>
      </c>
      <c r="K19" s="146"/>
      <c r="L19" s="146">
        <v>415</v>
      </c>
      <c r="M19" s="146"/>
      <c r="N19" s="36">
        <f t="shared" si="1"/>
        <v>2582</v>
      </c>
      <c r="O19" s="19">
        <v>5</v>
      </c>
      <c r="P19" s="19">
        <v>3</v>
      </c>
      <c r="Q19" s="19">
        <v>114</v>
      </c>
      <c r="R19" s="19">
        <v>2</v>
      </c>
      <c r="S19" s="22">
        <v>1</v>
      </c>
      <c r="T19" s="22"/>
      <c r="U19" s="22"/>
    </row>
    <row r="20" spans="1:21" s="114" customFormat="1" ht="15.75">
      <c r="A20" s="26" t="s">
        <v>14</v>
      </c>
      <c r="B20" s="57" t="s">
        <v>21</v>
      </c>
      <c r="C20" s="57"/>
      <c r="D20" s="43"/>
      <c r="E20" s="43">
        <v>389</v>
      </c>
      <c r="F20" s="43">
        <v>430</v>
      </c>
      <c r="G20" s="243">
        <v>435</v>
      </c>
      <c r="H20" s="243">
        <v>453</v>
      </c>
      <c r="I20" s="243">
        <v>442</v>
      </c>
      <c r="J20" s="43">
        <v>411</v>
      </c>
      <c r="K20" s="43"/>
      <c r="L20" s="43"/>
      <c r="M20" s="43"/>
      <c r="N20" s="186">
        <f t="shared" si="1"/>
        <v>2560</v>
      </c>
      <c r="O20" s="110">
        <v>5</v>
      </c>
      <c r="P20" s="110">
        <v>3</v>
      </c>
      <c r="Q20" s="110">
        <v>11</v>
      </c>
      <c r="R20" s="110">
        <v>2</v>
      </c>
      <c r="S20" s="113">
        <v>1</v>
      </c>
      <c r="T20" s="113"/>
      <c r="U20" s="113"/>
    </row>
    <row r="21" spans="1:21" s="148" customFormat="1" ht="15.75">
      <c r="A21" s="100" t="s">
        <v>261</v>
      </c>
      <c r="B21" s="129" t="s">
        <v>26</v>
      </c>
      <c r="C21" s="121"/>
      <c r="D21" s="120">
        <v>406</v>
      </c>
      <c r="E21" s="120"/>
      <c r="F21" s="120">
        <v>435</v>
      </c>
      <c r="G21" s="120">
        <v>434</v>
      </c>
      <c r="H21" s="258">
        <v>461</v>
      </c>
      <c r="I21" s="258">
        <v>440</v>
      </c>
      <c r="J21" s="120"/>
      <c r="K21" s="120"/>
      <c r="L21" s="120">
        <v>419</v>
      </c>
      <c r="M21" s="120"/>
      <c r="N21" s="190">
        <f t="shared" si="1"/>
        <v>2595</v>
      </c>
      <c r="O21" s="145">
        <v>4</v>
      </c>
      <c r="P21" s="145">
        <v>4</v>
      </c>
      <c r="Q21" s="145">
        <v>29</v>
      </c>
      <c r="R21" s="145">
        <v>1</v>
      </c>
      <c r="S21" s="176"/>
      <c r="T21" s="176">
        <v>1</v>
      </c>
      <c r="U21" s="176"/>
    </row>
    <row r="22" spans="1:21" s="114" customFormat="1" ht="16.5" thickBot="1">
      <c r="A22" s="26" t="s">
        <v>262</v>
      </c>
      <c r="B22" s="152" t="s">
        <v>208</v>
      </c>
      <c r="C22" s="179"/>
      <c r="D22" s="177"/>
      <c r="E22" s="287">
        <v>430</v>
      </c>
      <c r="F22" s="177">
        <v>423</v>
      </c>
      <c r="G22" s="177">
        <v>416</v>
      </c>
      <c r="H22" s="287">
        <v>437</v>
      </c>
      <c r="I22" s="287">
        <v>448</v>
      </c>
      <c r="J22" s="177"/>
      <c r="K22" s="177"/>
      <c r="L22" s="177">
        <v>412</v>
      </c>
      <c r="M22" s="177"/>
      <c r="N22" s="187">
        <f t="shared" si="1"/>
        <v>2566</v>
      </c>
      <c r="O22" s="116">
        <v>5</v>
      </c>
      <c r="P22" s="116">
        <v>3</v>
      </c>
      <c r="Q22" s="188">
        <f>N22-2505</f>
        <v>61</v>
      </c>
      <c r="R22" s="116">
        <v>2</v>
      </c>
      <c r="S22" s="128">
        <v>1</v>
      </c>
      <c r="T22" s="128"/>
      <c r="U22" s="128"/>
    </row>
    <row r="23" spans="3:21" ht="16.5" thickTop="1">
      <c r="C23" s="6">
        <f aca="true" t="shared" si="2" ref="C23:L23">SUM(C6:C22)</f>
        <v>366</v>
      </c>
      <c r="D23" s="6">
        <f t="shared" si="2"/>
        <v>5024</v>
      </c>
      <c r="E23" s="6">
        <f>SUM(E8:E12)+E6+SUM(E15:E22)</f>
        <v>4227</v>
      </c>
      <c r="F23" s="6">
        <f t="shared" si="2"/>
        <v>5071</v>
      </c>
      <c r="G23" s="6">
        <f>G6+G8+G12+G14+G16+G17+G18+G19+G20+G21+G22+G10</f>
        <v>4174</v>
      </c>
      <c r="H23" s="6">
        <f t="shared" si="2"/>
        <v>4737</v>
      </c>
      <c r="I23" s="6">
        <f t="shared" si="2"/>
        <v>6527</v>
      </c>
      <c r="J23" s="6">
        <f>J7+J8+J12+J16+J17+J18+J19+J20+J21+J22+J10</f>
        <v>2368</v>
      </c>
      <c r="K23" s="6">
        <f>SUM(K6:K11)+SUM(K13:K17)</f>
        <v>0</v>
      </c>
      <c r="L23" s="6">
        <f t="shared" si="2"/>
        <v>6573</v>
      </c>
      <c r="M23" s="6">
        <f>SUM(M6:M22)</f>
        <v>0</v>
      </c>
      <c r="S23" s="2">
        <f>SUM(S6:S22)</f>
        <v>8</v>
      </c>
      <c r="T23" s="2">
        <f>SUM(T6:T22)</f>
        <v>1</v>
      </c>
      <c r="U23" s="2">
        <f>SUM(U6:U22)</f>
        <v>7</v>
      </c>
    </row>
    <row r="24" spans="2:13" ht="15.75">
      <c r="B24" s="1" t="s">
        <v>183</v>
      </c>
      <c r="C24" s="6">
        <f>COUNT(C6:C22)</f>
        <v>1</v>
      </c>
      <c r="D24" s="6">
        <f aca="true" t="shared" si="3" ref="D24:L24">COUNT(D6:D22)</f>
        <v>12</v>
      </c>
      <c r="E24" s="6">
        <f>COUNT(E8:E13)+COUNT(E6)+COUNT(E15:E22)</f>
        <v>10</v>
      </c>
      <c r="F24" s="6">
        <f t="shared" si="3"/>
        <v>12</v>
      </c>
      <c r="G24" s="6">
        <f>COUNT(G10:G14)+COUNT(G6)+COUNT(G8)+COUNT(G16:G22)</f>
        <v>10</v>
      </c>
      <c r="H24" s="6">
        <f t="shared" si="3"/>
        <v>11</v>
      </c>
      <c r="I24" s="6">
        <f t="shared" si="3"/>
        <v>15</v>
      </c>
      <c r="J24" s="6">
        <f>COUNT(J10:J13)+COUNT(J6)+COUNT(J7:J8)+COUNT(J16:J22)</f>
        <v>6</v>
      </c>
      <c r="K24" s="6">
        <f>COUNT(K6:K11)+COUNT(K13:K17)</f>
        <v>0</v>
      </c>
      <c r="L24" s="6">
        <f t="shared" si="3"/>
        <v>15</v>
      </c>
      <c r="M24" s="6"/>
    </row>
    <row r="25" spans="2:21" ht="33.75" customHeight="1">
      <c r="B25" s="11" t="s">
        <v>127</v>
      </c>
      <c r="C25" s="16">
        <f>AVERAGE(C6:C22)</f>
        <v>366</v>
      </c>
      <c r="D25" s="16">
        <f>AVERAGE(D6:D22)</f>
        <v>418.6666666666667</v>
      </c>
      <c r="E25" s="16">
        <f>E23/E24</f>
        <v>422.7</v>
      </c>
      <c r="F25" s="16">
        <f aca="true" t="shared" si="4" ref="F25:L25">AVERAGE(F6:F22)</f>
        <v>422.5833333333333</v>
      </c>
      <c r="G25" s="6">
        <f>G23/G24</f>
        <v>417.4</v>
      </c>
      <c r="H25" s="16">
        <f t="shared" si="4"/>
        <v>430.6363636363636</v>
      </c>
      <c r="I25" s="16">
        <f t="shared" si="4"/>
        <v>435.1333333333333</v>
      </c>
      <c r="J25" s="16">
        <f>J23/J24</f>
        <v>394.6666666666667</v>
      </c>
      <c r="K25" s="16"/>
      <c r="L25" s="16">
        <f t="shared" si="4"/>
        <v>438.2</v>
      </c>
      <c r="M25" s="16"/>
      <c r="N25" s="3" t="s">
        <v>30</v>
      </c>
      <c r="O25" s="371" t="s">
        <v>115</v>
      </c>
      <c r="P25" s="371"/>
      <c r="Q25" s="3" t="s">
        <v>31</v>
      </c>
      <c r="R25" s="10" t="s">
        <v>116</v>
      </c>
      <c r="T25" s="74" t="s">
        <v>126</v>
      </c>
      <c r="U25" s="74" t="s">
        <v>223</v>
      </c>
    </row>
    <row r="26" spans="14:21" ht="15.75">
      <c r="N26" s="6">
        <f>SUM(N6:N22)</f>
        <v>40614</v>
      </c>
      <c r="O26" s="1">
        <f>SUM(O6:O22)</f>
        <v>64</v>
      </c>
      <c r="P26" s="1">
        <f>SUM(P6:P22)</f>
        <v>64</v>
      </c>
      <c r="Q26" s="1">
        <f>SUM(Q6:Q22)</f>
        <v>167</v>
      </c>
      <c r="R26" s="1">
        <f>SUM(R6:R22)</f>
        <v>17</v>
      </c>
      <c r="T26" s="2">
        <f>O26-P26</f>
        <v>0</v>
      </c>
      <c r="U26" s="2">
        <f>SUM(S23:U23)</f>
        <v>16</v>
      </c>
    </row>
    <row r="28" spans="3:12" ht="15.75">
      <c r="C28" s="377" t="s">
        <v>39</v>
      </c>
      <c r="D28" s="377"/>
      <c r="E28" s="377"/>
      <c r="G28" s="375" t="s">
        <v>132</v>
      </c>
      <c r="H28" s="375"/>
      <c r="I28" s="375"/>
      <c r="J28" s="376" t="s">
        <v>133</v>
      </c>
      <c r="K28" s="376"/>
      <c r="L28" s="376"/>
    </row>
    <row r="29" spans="1:21" ht="16.5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226"/>
      <c r="T29" s="226"/>
      <c r="U29" s="226"/>
    </row>
    <row r="30" spans="1:7" ht="15.75">
      <c r="A30" s="51"/>
      <c r="B30" s="49"/>
      <c r="C30" s="49"/>
      <c r="D30" s="49"/>
      <c r="E30" s="49"/>
      <c r="F30" s="50"/>
      <c r="G30" s="49"/>
    </row>
    <row r="31" spans="2:21" ht="36.75" customHeight="1" thickBot="1">
      <c r="B31" s="3" t="s">
        <v>25</v>
      </c>
      <c r="C31" s="8" t="s">
        <v>149</v>
      </c>
      <c r="D31" s="302" t="s">
        <v>193</v>
      </c>
      <c r="E31" s="8" t="s">
        <v>46</v>
      </c>
      <c r="F31" s="8" t="s">
        <v>47</v>
      </c>
      <c r="G31" s="8" t="s">
        <v>48</v>
      </c>
      <c r="H31" s="8" t="s">
        <v>49</v>
      </c>
      <c r="I31" s="8" t="s">
        <v>130</v>
      </c>
      <c r="J31" s="8" t="s">
        <v>118</v>
      </c>
      <c r="K31" s="8" t="s">
        <v>119</v>
      </c>
      <c r="L31" s="8" t="s">
        <v>121</v>
      </c>
      <c r="M31" s="73"/>
      <c r="N31" s="5" t="s">
        <v>30</v>
      </c>
      <c r="O31" s="3" t="s">
        <v>15</v>
      </c>
      <c r="P31" s="3" t="s">
        <v>29</v>
      </c>
      <c r="Q31" s="3" t="s">
        <v>31</v>
      </c>
      <c r="R31" s="10" t="s">
        <v>114</v>
      </c>
      <c r="S31" s="2" t="s">
        <v>184</v>
      </c>
      <c r="T31" s="2" t="s">
        <v>185</v>
      </c>
      <c r="U31" s="2" t="s">
        <v>186</v>
      </c>
    </row>
    <row r="32" spans="1:21" s="104" customFormat="1" ht="15.75">
      <c r="A32" s="19" t="s">
        <v>153</v>
      </c>
      <c r="B32" s="137" t="s">
        <v>263</v>
      </c>
      <c r="C32" s="42"/>
      <c r="D32" s="42">
        <v>417</v>
      </c>
      <c r="E32" s="244">
        <v>454</v>
      </c>
      <c r="F32" s="42">
        <v>385</v>
      </c>
      <c r="G32" s="42"/>
      <c r="H32" s="42">
        <v>412</v>
      </c>
      <c r="I32" s="244">
        <v>432</v>
      </c>
      <c r="J32" s="42">
        <v>419</v>
      </c>
      <c r="K32" s="42"/>
      <c r="L32" s="42"/>
      <c r="M32" s="101"/>
      <c r="N32" s="102">
        <f>SUM(C32:M32)</f>
        <v>2519</v>
      </c>
      <c r="O32" s="100">
        <v>2</v>
      </c>
      <c r="P32" s="100">
        <v>6</v>
      </c>
      <c r="Q32" s="100">
        <v>-73</v>
      </c>
      <c r="R32" s="100">
        <v>0</v>
      </c>
      <c r="U32" s="104">
        <v>1</v>
      </c>
    </row>
    <row r="33" spans="1:21" s="114" customFormat="1" ht="15.75">
      <c r="A33" s="26" t="s">
        <v>154</v>
      </c>
      <c r="B33" s="57" t="s">
        <v>23</v>
      </c>
      <c r="C33" s="43"/>
      <c r="D33" s="43"/>
      <c r="E33" s="43">
        <v>393</v>
      </c>
      <c r="F33" s="43"/>
      <c r="G33" s="43">
        <v>416</v>
      </c>
      <c r="H33" s="243">
        <v>439</v>
      </c>
      <c r="I33" s="43">
        <v>416</v>
      </c>
      <c r="J33" s="243">
        <v>442</v>
      </c>
      <c r="K33" s="43"/>
      <c r="L33" s="43">
        <v>417</v>
      </c>
      <c r="M33" s="111"/>
      <c r="N33" s="112">
        <f aca="true" t="shared" si="5" ref="N33:N48">SUM(C33:M33)</f>
        <v>2523</v>
      </c>
      <c r="O33" s="110">
        <v>2</v>
      </c>
      <c r="P33" s="110">
        <v>6</v>
      </c>
      <c r="Q33" s="110">
        <v>-37</v>
      </c>
      <c r="R33" s="110">
        <v>0</v>
      </c>
      <c r="U33" s="114">
        <v>1</v>
      </c>
    </row>
    <row r="34" spans="1:21" s="148" customFormat="1" ht="15.75">
      <c r="A34" s="100" t="s">
        <v>155</v>
      </c>
      <c r="B34" s="121" t="s">
        <v>260</v>
      </c>
      <c r="C34" s="120"/>
      <c r="D34" s="120">
        <v>417</v>
      </c>
      <c r="E34" s="120">
        <v>417</v>
      </c>
      <c r="F34" s="120"/>
      <c r="G34" s="120">
        <v>409</v>
      </c>
      <c r="H34" s="120">
        <v>412</v>
      </c>
      <c r="I34" s="258">
        <v>455</v>
      </c>
      <c r="J34" s="120"/>
      <c r="K34" s="120"/>
      <c r="L34" s="120">
        <v>416</v>
      </c>
      <c r="M34" s="289"/>
      <c r="N34" s="147">
        <f t="shared" si="5"/>
        <v>2526</v>
      </c>
      <c r="O34" s="145">
        <v>1</v>
      </c>
      <c r="P34" s="145">
        <v>7</v>
      </c>
      <c r="Q34" s="145">
        <v>-52</v>
      </c>
      <c r="R34" s="145">
        <v>0</v>
      </c>
      <c r="U34" s="148">
        <v>1</v>
      </c>
    </row>
    <row r="35" spans="1:19" s="114" customFormat="1" ht="15.75">
      <c r="A35" s="26" t="s">
        <v>156</v>
      </c>
      <c r="B35" s="57" t="s">
        <v>209</v>
      </c>
      <c r="C35" s="43"/>
      <c r="D35" s="243">
        <v>435</v>
      </c>
      <c r="E35" s="43">
        <v>382</v>
      </c>
      <c r="F35" s="43"/>
      <c r="G35" s="43"/>
      <c r="H35" s="243">
        <v>400</v>
      </c>
      <c r="I35" s="43">
        <v>380</v>
      </c>
      <c r="J35" s="43">
        <v>376</v>
      </c>
      <c r="K35" s="43"/>
      <c r="L35" s="243">
        <v>385</v>
      </c>
      <c r="M35" s="111"/>
      <c r="N35" s="112">
        <f t="shared" si="5"/>
        <v>2358</v>
      </c>
      <c r="O35" s="110">
        <v>5</v>
      </c>
      <c r="P35" s="110">
        <v>3</v>
      </c>
      <c r="Q35" s="110">
        <f>N35-2289</f>
        <v>69</v>
      </c>
      <c r="R35" s="110">
        <v>2</v>
      </c>
      <c r="S35" s="114">
        <v>1</v>
      </c>
    </row>
    <row r="36" spans="1:21" s="23" customFormat="1" ht="15.75">
      <c r="A36" s="145" t="s">
        <v>157</v>
      </c>
      <c r="B36" s="153" t="s">
        <v>16</v>
      </c>
      <c r="C36" s="146"/>
      <c r="D36" s="146">
        <v>365</v>
      </c>
      <c r="E36" s="146">
        <v>399</v>
      </c>
      <c r="F36" s="146"/>
      <c r="G36" s="146"/>
      <c r="H36" s="257">
        <v>445</v>
      </c>
      <c r="I36" s="257">
        <v>459</v>
      </c>
      <c r="J36" s="257">
        <v>428</v>
      </c>
      <c r="K36" s="146"/>
      <c r="L36" s="146">
        <v>414</v>
      </c>
      <c r="M36" s="33"/>
      <c r="N36" s="69">
        <f t="shared" si="5"/>
        <v>2510</v>
      </c>
      <c r="O36" s="19">
        <v>3</v>
      </c>
      <c r="P36" s="19">
        <v>5</v>
      </c>
      <c r="Q36" s="19">
        <v>-56</v>
      </c>
      <c r="R36" s="19">
        <v>0</v>
      </c>
      <c r="U36" s="23">
        <v>1</v>
      </c>
    </row>
    <row r="37" spans="1:20" s="114" customFormat="1" ht="15.75">
      <c r="A37" s="26" t="s">
        <v>158</v>
      </c>
      <c r="B37" s="57" t="s">
        <v>205</v>
      </c>
      <c r="C37" s="43"/>
      <c r="D37" s="43"/>
      <c r="E37" s="243">
        <v>433</v>
      </c>
      <c r="F37" s="43"/>
      <c r="G37" s="243">
        <v>434</v>
      </c>
      <c r="H37" s="43">
        <v>411</v>
      </c>
      <c r="I37" s="43">
        <v>395</v>
      </c>
      <c r="J37" s="243">
        <v>424</v>
      </c>
      <c r="K37" s="43"/>
      <c r="L37" s="243">
        <v>417</v>
      </c>
      <c r="M37" s="111"/>
      <c r="N37" s="112">
        <f t="shared" si="5"/>
        <v>2514</v>
      </c>
      <c r="O37" s="110">
        <v>4</v>
      </c>
      <c r="P37" s="110">
        <v>4</v>
      </c>
      <c r="Q37" s="110">
        <v>-16</v>
      </c>
      <c r="R37" s="110">
        <v>1</v>
      </c>
      <c r="T37" s="114">
        <v>1</v>
      </c>
    </row>
    <row r="38" spans="1:19" s="104" customFormat="1" ht="15.75">
      <c r="A38" s="19" t="s">
        <v>159</v>
      </c>
      <c r="B38" s="137" t="s">
        <v>21</v>
      </c>
      <c r="C38" s="42"/>
      <c r="D38" s="244">
        <v>428</v>
      </c>
      <c r="E38" s="42">
        <v>425</v>
      </c>
      <c r="F38" s="42"/>
      <c r="G38" s="244">
        <v>440</v>
      </c>
      <c r="H38" s="42"/>
      <c r="I38" s="244">
        <v>464</v>
      </c>
      <c r="J38" s="42">
        <v>424</v>
      </c>
      <c r="K38" s="42"/>
      <c r="L38" s="42">
        <v>404</v>
      </c>
      <c r="M38" s="101"/>
      <c r="N38" s="102">
        <f t="shared" si="5"/>
        <v>2585</v>
      </c>
      <c r="O38" s="100">
        <v>5</v>
      </c>
      <c r="P38" s="100">
        <v>3</v>
      </c>
      <c r="Q38" s="100">
        <v>114</v>
      </c>
      <c r="R38" s="100">
        <v>2</v>
      </c>
      <c r="S38" s="104">
        <v>1</v>
      </c>
    </row>
    <row r="39" spans="1:21" s="114" customFormat="1" ht="15.75">
      <c r="A39" s="26" t="s">
        <v>160</v>
      </c>
      <c r="B39" s="47" t="s">
        <v>26</v>
      </c>
      <c r="C39" s="43"/>
      <c r="D39" s="43">
        <v>422</v>
      </c>
      <c r="E39" s="43">
        <v>406</v>
      </c>
      <c r="F39" s="43"/>
      <c r="G39" s="43">
        <v>433</v>
      </c>
      <c r="H39" s="43">
        <v>444</v>
      </c>
      <c r="I39" s="243">
        <v>446</v>
      </c>
      <c r="J39" s="43">
        <v>390</v>
      </c>
      <c r="K39" s="43"/>
      <c r="L39" s="43"/>
      <c r="M39" s="111"/>
      <c r="N39" s="112">
        <f t="shared" si="5"/>
        <v>2541</v>
      </c>
      <c r="O39" s="110">
        <v>1</v>
      </c>
      <c r="P39" s="110">
        <v>7</v>
      </c>
      <c r="Q39" s="110">
        <v>-193</v>
      </c>
      <c r="R39" s="110">
        <v>0</v>
      </c>
      <c r="U39" s="114">
        <v>1</v>
      </c>
    </row>
    <row r="40" spans="1:19" s="104" customFormat="1" ht="15.75">
      <c r="A40" s="100" t="s">
        <v>161</v>
      </c>
      <c r="B40" s="121" t="s">
        <v>208</v>
      </c>
      <c r="C40" s="120"/>
      <c r="D40" s="289">
        <v>416</v>
      </c>
      <c r="E40" s="42">
        <v>394</v>
      </c>
      <c r="F40" s="146"/>
      <c r="G40" s="146">
        <v>414</v>
      </c>
      <c r="H40" s="252">
        <v>450</v>
      </c>
      <c r="I40" s="244">
        <v>421</v>
      </c>
      <c r="J40" s="244">
        <v>420</v>
      </c>
      <c r="K40" s="42"/>
      <c r="L40" s="101"/>
      <c r="M40" s="101"/>
      <c r="N40" s="102">
        <f t="shared" si="5"/>
        <v>2515</v>
      </c>
      <c r="O40" s="100">
        <v>5</v>
      </c>
      <c r="P40" s="100">
        <v>3</v>
      </c>
      <c r="Q40" s="100">
        <v>11</v>
      </c>
      <c r="R40" s="100">
        <v>2</v>
      </c>
      <c r="S40" s="104">
        <v>1</v>
      </c>
    </row>
    <row r="41" spans="1:19" s="114" customFormat="1" ht="15.75">
      <c r="A41" s="26" t="s">
        <v>162</v>
      </c>
      <c r="B41" s="57" t="s">
        <v>206</v>
      </c>
      <c r="C41" s="43"/>
      <c r="D41" s="337">
        <v>439</v>
      </c>
      <c r="E41" s="43">
        <v>400</v>
      </c>
      <c r="F41" s="43"/>
      <c r="G41" s="337">
        <v>445</v>
      </c>
      <c r="H41" s="43">
        <v>425</v>
      </c>
      <c r="I41" s="337">
        <v>451</v>
      </c>
      <c r="J41" s="43"/>
      <c r="K41" s="43"/>
      <c r="L41" s="337">
        <v>431</v>
      </c>
      <c r="M41" s="111"/>
      <c r="N41" s="112">
        <f t="shared" si="5"/>
        <v>2591</v>
      </c>
      <c r="O41" s="110">
        <v>6</v>
      </c>
      <c r="P41" s="110">
        <v>2</v>
      </c>
      <c r="Q41" s="110">
        <v>164</v>
      </c>
      <c r="R41" s="110">
        <v>2</v>
      </c>
      <c r="S41" s="114">
        <v>1</v>
      </c>
    </row>
    <row r="42" spans="1:21" s="148" customFormat="1" ht="15.75">
      <c r="A42" s="100" t="s">
        <v>163</v>
      </c>
      <c r="B42" s="121" t="s">
        <v>20</v>
      </c>
      <c r="C42" s="120"/>
      <c r="D42" s="120"/>
      <c r="E42" s="120">
        <v>392</v>
      </c>
      <c r="F42" s="120"/>
      <c r="G42" s="120">
        <v>394</v>
      </c>
      <c r="H42" s="258">
        <v>431</v>
      </c>
      <c r="I42" s="120">
        <v>407</v>
      </c>
      <c r="J42" s="120">
        <v>402</v>
      </c>
      <c r="K42" s="120"/>
      <c r="L42" s="258">
        <v>423</v>
      </c>
      <c r="M42" s="289"/>
      <c r="N42" s="147">
        <f t="shared" si="5"/>
        <v>2449</v>
      </c>
      <c r="O42" s="145">
        <v>2</v>
      </c>
      <c r="P42" s="145">
        <v>6</v>
      </c>
      <c r="Q42" s="145">
        <f>N42-2498</f>
        <v>-49</v>
      </c>
      <c r="R42" s="145">
        <v>0</v>
      </c>
      <c r="U42" s="148">
        <v>1</v>
      </c>
    </row>
    <row r="43" spans="1:20" s="114" customFormat="1" ht="15.75">
      <c r="A43" s="26" t="s">
        <v>164</v>
      </c>
      <c r="B43" s="57" t="s">
        <v>22</v>
      </c>
      <c r="C43" s="43"/>
      <c r="D43" s="43">
        <v>412</v>
      </c>
      <c r="E43" s="43">
        <v>386</v>
      </c>
      <c r="F43" s="43"/>
      <c r="G43" s="43">
        <v>381</v>
      </c>
      <c r="H43" s="243">
        <v>457</v>
      </c>
      <c r="I43" s="243">
        <v>442</v>
      </c>
      <c r="J43" s="43"/>
      <c r="K43" s="43"/>
      <c r="L43" s="43">
        <v>417</v>
      </c>
      <c r="M43" s="111"/>
      <c r="N43" s="112">
        <f t="shared" si="5"/>
        <v>2495</v>
      </c>
      <c r="O43" s="110">
        <v>4</v>
      </c>
      <c r="P43" s="110">
        <v>4</v>
      </c>
      <c r="Q43" s="110">
        <v>5</v>
      </c>
      <c r="R43" s="110">
        <v>1</v>
      </c>
      <c r="T43" s="114">
        <v>1</v>
      </c>
    </row>
    <row r="44" spans="1:19" s="23" customFormat="1" ht="15.75">
      <c r="A44" s="145" t="s">
        <v>165</v>
      </c>
      <c r="B44" s="153" t="s">
        <v>196</v>
      </c>
      <c r="C44" s="146"/>
      <c r="D44" s="257">
        <v>424</v>
      </c>
      <c r="E44" s="146"/>
      <c r="F44" s="146">
        <v>413</v>
      </c>
      <c r="G44" s="146"/>
      <c r="H44" s="257">
        <v>426</v>
      </c>
      <c r="I44" s="257">
        <v>437</v>
      </c>
      <c r="J44" s="146">
        <v>408</v>
      </c>
      <c r="K44" s="146"/>
      <c r="L44" s="257">
        <v>422</v>
      </c>
      <c r="M44" s="33"/>
      <c r="N44" s="69">
        <f t="shared" si="5"/>
        <v>2530</v>
      </c>
      <c r="O44" s="19">
        <v>6</v>
      </c>
      <c r="P44" s="19">
        <v>2</v>
      </c>
      <c r="Q44" s="19">
        <v>88</v>
      </c>
      <c r="R44" s="19">
        <v>2</v>
      </c>
      <c r="S44" s="23">
        <v>1</v>
      </c>
    </row>
    <row r="45" spans="1:19" s="114" customFormat="1" ht="15.75">
      <c r="A45" s="26" t="s">
        <v>265</v>
      </c>
      <c r="B45" s="57" t="s">
        <v>19</v>
      </c>
      <c r="C45" s="43"/>
      <c r="D45" s="243">
        <v>433</v>
      </c>
      <c r="E45" s="43"/>
      <c r="F45" s="43">
        <v>419</v>
      </c>
      <c r="G45" s="243">
        <v>452</v>
      </c>
      <c r="H45" s="43">
        <v>412</v>
      </c>
      <c r="I45" s="243">
        <v>421</v>
      </c>
      <c r="J45" s="43">
        <v>390</v>
      </c>
      <c r="K45" s="43"/>
      <c r="L45" s="43"/>
      <c r="M45" s="111"/>
      <c r="N45" s="112">
        <f t="shared" si="5"/>
        <v>2527</v>
      </c>
      <c r="O45" s="110">
        <v>5</v>
      </c>
      <c r="P45" s="110">
        <v>3</v>
      </c>
      <c r="Q45" s="110">
        <v>10</v>
      </c>
      <c r="R45" s="110">
        <v>2</v>
      </c>
      <c r="S45" s="114">
        <v>1</v>
      </c>
    </row>
    <row r="46" spans="1:21" s="104" customFormat="1" ht="15.75">
      <c r="A46" s="19" t="s">
        <v>266</v>
      </c>
      <c r="B46" s="137" t="s">
        <v>275</v>
      </c>
      <c r="C46" s="42"/>
      <c r="D46" s="42">
        <v>403</v>
      </c>
      <c r="E46" s="42"/>
      <c r="F46" s="42">
        <v>426</v>
      </c>
      <c r="G46" s="244">
        <v>452</v>
      </c>
      <c r="H46" s="244">
        <v>434</v>
      </c>
      <c r="I46" s="244">
        <v>452</v>
      </c>
      <c r="J46" s="42">
        <v>412</v>
      </c>
      <c r="K46" s="42"/>
      <c r="L46" s="42"/>
      <c r="M46" s="101"/>
      <c r="N46" s="102">
        <f t="shared" si="5"/>
        <v>2579</v>
      </c>
      <c r="O46" s="100">
        <v>3</v>
      </c>
      <c r="P46" s="100">
        <v>5</v>
      </c>
      <c r="Q46" s="100">
        <v>-28</v>
      </c>
      <c r="R46" s="100">
        <v>0</v>
      </c>
      <c r="U46" s="104">
        <v>1</v>
      </c>
    </row>
    <row r="47" spans="1:21" s="114" customFormat="1" ht="15.75">
      <c r="A47" s="26" t="s">
        <v>303</v>
      </c>
      <c r="B47" s="57" t="s">
        <v>17</v>
      </c>
      <c r="C47" s="43"/>
      <c r="D47" s="43">
        <v>400</v>
      </c>
      <c r="E47" s="337">
        <v>203</v>
      </c>
      <c r="F47" s="43">
        <v>403</v>
      </c>
      <c r="G47" s="337">
        <v>431</v>
      </c>
      <c r="H47" s="337">
        <v>219</v>
      </c>
      <c r="I47" s="337">
        <v>421</v>
      </c>
      <c r="J47" s="43">
        <v>406</v>
      </c>
      <c r="K47" s="43"/>
      <c r="L47" s="43"/>
      <c r="M47" s="111"/>
      <c r="N47" s="112">
        <f t="shared" si="5"/>
        <v>2483</v>
      </c>
      <c r="O47" s="110">
        <v>3</v>
      </c>
      <c r="P47" s="110">
        <v>5</v>
      </c>
      <c r="Q47" s="110">
        <v>-13</v>
      </c>
      <c r="R47" s="110">
        <v>0</v>
      </c>
      <c r="U47" s="114">
        <v>1</v>
      </c>
    </row>
    <row r="48" spans="1:21" s="299" customFormat="1" ht="16.5" thickBot="1">
      <c r="A48" s="293" t="s">
        <v>304</v>
      </c>
      <c r="B48" s="294" t="s">
        <v>255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N48" s="307">
        <f t="shared" si="5"/>
        <v>0</v>
      </c>
      <c r="O48" s="308"/>
      <c r="P48" s="308"/>
      <c r="Q48" s="308"/>
      <c r="R48" s="308"/>
      <c r="S48" s="309"/>
      <c r="T48" s="309"/>
      <c r="U48" s="309"/>
    </row>
    <row r="49" spans="3:21" ht="16.5" thickTop="1">
      <c r="C49" s="7">
        <f aca="true" t="shared" si="6" ref="C49:L49">SUM(C32:C48)</f>
        <v>0</v>
      </c>
      <c r="D49" s="7">
        <f t="shared" si="6"/>
        <v>5411</v>
      </c>
      <c r="E49" s="7">
        <f>SUM(E32:E46)</f>
        <v>4881</v>
      </c>
      <c r="F49" s="7">
        <f t="shared" si="6"/>
        <v>2046</v>
      </c>
      <c r="G49" s="7">
        <f t="shared" si="6"/>
        <v>5101</v>
      </c>
      <c r="H49" s="7">
        <f>SUM(H32:H46)</f>
        <v>5998</v>
      </c>
      <c r="I49" s="7">
        <f t="shared" si="6"/>
        <v>6899</v>
      </c>
      <c r="J49" s="7">
        <f t="shared" si="6"/>
        <v>5341</v>
      </c>
      <c r="K49" s="7">
        <f t="shared" si="6"/>
        <v>0</v>
      </c>
      <c r="L49" s="7">
        <f t="shared" si="6"/>
        <v>4146</v>
      </c>
      <c r="M49" s="7"/>
      <c r="O49" s="1">
        <f>SUM(O32:O48)</f>
        <v>57</v>
      </c>
      <c r="P49" s="1">
        <f>SUM(P32:P48)</f>
        <v>71</v>
      </c>
      <c r="Q49" s="1">
        <f>SUM(Q32:Q48)</f>
        <v>-56</v>
      </c>
      <c r="R49" s="1">
        <f>SUM(R32:R48)</f>
        <v>14</v>
      </c>
      <c r="S49" s="1">
        <f>SUM(S32:S48)+S23</f>
        <v>14</v>
      </c>
      <c r="T49" s="1">
        <f>SUM(T32:T48)+T23</f>
        <v>3</v>
      </c>
      <c r="U49" s="1">
        <f>SUM(U32:U48)+U23</f>
        <v>15</v>
      </c>
    </row>
    <row r="50" spans="2:12" ht="31.5">
      <c r="B50" s="67" t="s">
        <v>251</v>
      </c>
      <c r="C50" s="1">
        <f>COUNT(C32:C48)</f>
        <v>0</v>
      </c>
      <c r="D50" s="1">
        <f aca="true" t="shared" si="7" ref="D50:L50">COUNT(D32:D48)</f>
        <v>13</v>
      </c>
      <c r="E50" s="1">
        <f>COUNT(E32:E46)</f>
        <v>12</v>
      </c>
      <c r="F50" s="1">
        <f t="shared" si="7"/>
        <v>5</v>
      </c>
      <c r="G50" s="1">
        <f t="shared" si="7"/>
        <v>12</v>
      </c>
      <c r="H50" s="1">
        <f>COUNT(H32:H46)</f>
        <v>14</v>
      </c>
      <c r="I50" s="1">
        <f t="shared" si="7"/>
        <v>16</v>
      </c>
      <c r="J50" s="1">
        <f t="shared" si="7"/>
        <v>13</v>
      </c>
      <c r="K50" s="1">
        <f t="shared" si="7"/>
        <v>0</v>
      </c>
      <c r="L50" s="1">
        <f t="shared" si="7"/>
        <v>10</v>
      </c>
    </row>
    <row r="51" spans="2:21" ht="31.5">
      <c r="B51" s="11" t="s">
        <v>247</v>
      </c>
      <c r="C51" s="16"/>
      <c r="D51" s="16">
        <f aca="true" t="shared" si="8" ref="D51:J51">D49/D50</f>
        <v>416.2307692307692</v>
      </c>
      <c r="E51" s="16">
        <f t="shared" si="8"/>
        <v>406.75</v>
      </c>
      <c r="F51" s="16">
        <f t="shared" si="8"/>
        <v>409.2</v>
      </c>
      <c r="G51" s="16">
        <f t="shared" si="8"/>
        <v>425.0833333333333</v>
      </c>
      <c r="H51" s="16">
        <f t="shared" si="8"/>
        <v>428.42857142857144</v>
      </c>
      <c r="I51" s="16">
        <f t="shared" si="8"/>
        <v>431.1875</v>
      </c>
      <c r="J51" s="16">
        <f t="shared" si="8"/>
        <v>410.84615384615387</v>
      </c>
      <c r="K51" s="16"/>
      <c r="L51" s="16">
        <f>L49/L50</f>
        <v>414.6</v>
      </c>
      <c r="N51" s="3" t="s">
        <v>30</v>
      </c>
      <c r="O51" s="371" t="s">
        <v>115</v>
      </c>
      <c r="P51" s="371"/>
      <c r="Q51" s="3" t="s">
        <v>31</v>
      </c>
      <c r="R51" s="10" t="s">
        <v>116</v>
      </c>
      <c r="T51" s="74" t="s">
        <v>126</v>
      </c>
      <c r="U51" s="74" t="s">
        <v>223</v>
      </c>
    </row>
    <row r="52" spans="11:21" ht="15.75">
      <c r="K52" s="16"/>
      <c r="N52" s="6">
        <f>SUM(N32:N48)+N26</f>
        <v>80859</v>
      </c>
      <c r="O52" s="6">
        <f>SUM(O32:O48)+O26</f>
        <v>121</v>
      </c>
      <c r="P52" s="6">
        <f>SUM(P32:P48)+P26</f>
        <v>135</v>
      </c>
      <c r="Q52" s="6">
        <f>SUM(Q32:Q48)+Q26</f>
        <v>111</v>
      </c>
      <c r="R52" s="6">
        <f>SUM(R32:R48)+R26</f>
        <v>31</v>
      </c>
      <c r="T52" s="2">
        <f>O52-P52</f>
        <v>-14</v>
      </c>
      <c r="U52" s="2">
        <f>SUM(S49:U49)</f>
        <v>32</v>
      </c>
    </row>
    <row r="54" spans="14:15" ht="15.75">
      <c r="N54" s="1" t="s">
        <v>128</v>
      </c>
      <c r="O54" s="18">
        <f>N52/U52</f>
        <v>2526.84375</v>
      </c>
    </row>
  </sheetData>
  <sheetProtection/>
  <mergeCells count="11">
    <mergeCell ref="O25:P25"/>
    <mergeCell ref="O51:P51"/>
    <mergeCell ref="F1:G1"/>
    <mergeCell ref="L2:M2"/>
    <mergeCell ref="G28:I28"/>
    <mergeCell ref="J28:L28"/>
    <mergeCell ref="I1:J1"/>
    <mergeCell ref="L1:M1"/>
    <mergeCell ref="C4:M4"/>
    <mergeCell ref="O4:P4"/>
    <mergeCell ref="C28:E28"/>
  </mergeCells>
  <printOptions/>
  <pageMargins left="0.75" right="0.75" top="1" bottom="1" header="0.5" footer="0.5"/>
  <pageSetup horizontalDpi="600" verticalDpi="600" orientation="portrait" paperSize="9" r:id="rId1"/>
  <ignoredErrors>
    <ignoredError sqref="J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U53"/>
  <sheetViews>
    <sheetView zoomScale="90" zoomScaleNormal="90" zoomScalePageLayoutView="0" workbookViewId="0" topLeftCell="B22">
      <selection activeCell="E47" sqref="E47"/>
    </sheetView>
  </sheetViews>
  <sheetFormatPr defaultColWidth="9.00390625" defaultRowHeight="12.75"/>
  <cols>
    <col min="1" max="1" width="11.25390625" style="1" bestFit="1" customWidth="1"/>
    <col min="2" max="2" width="17.625" style="1" bestFit="1" customWidth="1"/>
    <col min="3" max="3" width="10.375" style="1" customWidth="1"/>
    <col min="4" max="4" width="10.75390625" style="1" customWidth="1"/>
    <col min="5" max="5" width="11.375" style="1" customWidth="1"/>
    <col min="6" max="6" width="10.25390625" style="1" customWidth="1"/>
    <col min="7" max="7" width="11.375" style="1" customWidth="1"/>
    <col min="8" max="8" width="10.25390625" style="1" customWidth="1"/>
    <col min="9" max="9" width="11.25390625" style="1" customWidth="1"/>
    <col min="10" max="10" width="10.25390625" style="1" customWidth="1"/>
    <col min="11" max="11" width="11.125" style="1" customWidth="1"/>
    <col min="12" max="12" width="17.75390625" style="1" bestFit="1" customWidth="1"/>
    <col min="13" max="13" width="11.125" style="1" bestFit="1" customWidth="1"/>
    <col min="14" max="14" width="12.125" style="1" customWidth="1"/>
    <col min="15" max="15" width="14.375" style="1" customWidth="1"/>
    <col min="16" max="16" width="12.00390625" style="1" customWidth="1"/>
    <col min="17" max="17" width="13.375" style="1" customWidth="1"/>
    <col min="18" max="18" width="11.875" style="1" customWidth="1"/>
    <col min="19" max="19" width="13.00390625" style="0" customWidth="1"/>
    <col min="20" max="20" width="11.75390625" style="0" customWidth="1"/>
    <col min="21" max="21" width="10.375" style="0" customWidth="1"/>
  </cols>
  <sheetData>
    <row r="1" spans="1:13" ht="15.75">
      <c r="A1" s="58" t="s">
        <v>141</v>
      </c>
      <c r="B1" s="59"/>
      <c r="C1" s="59" t="s">
        <v>144</v>
      </c>
      <c r="D1" s="59" t="s">
        <v>139</v>
      </c>
      <c r="E1" s="372" t="s">
        <v>140</v>
      </c>
      <c r="F1" s="372"/>
      <c r="G1" s="374" t="s">
        <v>151</v>
      </c>
      <c r="H1" s="374"/>
      <c r="I1" s="1" t="s">
        <v>152</v>
      </c>
      <c r="J1" s="378" t="s">
        <v>126</v>
      </c>
      <c r="K1" s="378"/>
      <c r="L1" s="1" t="s">
        <v>128</v>
      </c>
      <c r="M1" s="18">
        <f>L26/R26</f>
        <v>2530.1875</v>
      </c>
    </row>
    <row r="2" spans="7:13" ht="15.75">
      <c r="G2" s="1">
        <f>M26+M48</f>
        <v>136</v>
      </c>
      <c r="H2" s="1">
        <f>N26+N48</f>
        <v>120</v>
      </c>
      <c r="I2" s="1">
        <f>P26+P48</f>
        <v>37</v>
      </c>
      <c r="J2" s="374">
        <f>G2-H2</f>
        <v>16</v>
      </c>
      <c r="K2" s="374"/>
      <c r="L2" s="1" t="s">
        <v>234</v>
      </c>
      <c r="M2" s="6">
        <f>L7+L9+L12+L14+L16+L18+L20+L22</f>
        <v>20268</v>
      </c>
    </row>
    <row r="4" spans="3:21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O4" s="371" t="s">
        <v>28</v>
      </c>
      <c r="P4" s="371"/>
      <c r="S4" s="2"/>
      <c r="T4" s="2"/>
      <c r="U4" s="2"/>
    </row>
    <row r="5" spans="2:19" ht="32.25" thickBot="1">
      <c r="B5" s="3" t="s">
        <v>25</v>
      </c>
      <c r="C5" s="8" t="s">
        <v>171</v>
      </c>
      <c r="D5" s="8" t="s">
        <v>50</v>
      </c>
      <c r="E5" s="8" t="s">
        <v>51</v>
      </c>
      <c r="F5" s="8" t="s">
        <v>52</v>
      </c>
      <c r="G5" s="8" t="s">
        <v>172</v>
      </c>
      <c r="H5" s="8" t="s">
        <v>173</v>
      </c>
      <c r="I5" s="8" t="s">
        <v>189</v>
      </c>
      <c r="J5" s="8" t="s">
        <v>257</v>
      </c>
      <c r="K5" s="8" t="s">
        <v>270</v>
      </c>
      <c r="L5" s="3" t="s">
        <v>30</v>
      </c>
      <c r="M5" s="3" t="s">
        <v>17</v>
      </c>
      <c r="N5" s="3" t="s">
        <v>29</v>
      </c>
      <c r="O5" s="3" t="s">
        <v>31</v>
      </c>
      <c r="P5" s="10" t="s">
        <v>114</v>
      </c>
      <c r="Q5" s="2" t="s">
        <v>184</v>
      </c>
      <c r="R5" s="2" t="s">
        <v>185</v>
      </c>
      <c r="S5" s="2" t="s">
        <v>186</v>
      </c>
    </row>
    <row r="6" spans="1:19" s="104" customFormat="1" ht="15.75">
      <c r="A6" s="19" t="s">
        <v>0</v>
      </c>
      <c r="B6" s="137" t="s">
        <v>20</v>
      </c>
      <c r="C6" s="244">
        <v>444</v>
      </c>
      <c r="D6" s="244">
        <v>431</v>
      </c>
      <c r="E6" s="244">
        <v>433</v>
      </c>
      <c r="F6" s="42">
        <v>399</v>
      </c>
      <c r="G6" s="42"/>
      <c r="H6" s="42">
        <v>413</v>
      </c>
      <c r="I6" s="42"/>
      <c r="J6" s="68"/>
      <c r="K6" s="35">
        <v>375</v>
      </c>
      <c r="L6" s="154">
        <f>SUM(C6:K6)</f>
        <v>2495</v>
      </c>
      <c r="M6" s="100">
        <v>5</v>
      </c>
      <c r="N6" s="100">
        <v>3</v>
      </c>
      <c r="O6" s="100">
        <v>7</v>
      </c>
      <c r="P6" s="100">
        <v>2</v>
      </c>
      <c r="Q6" s="194">
        <v>1</v>
      </c>
      <c r="R6" s="194"/>
      <c r="S6" s="194"/>
    </row>
    <row r="7" spans="1:19" s="30" customFormat="1" ht="15.75">
      <c r="A7" s="26" t="s">
        <v>1</v>
      </c>
      <c r="B7" s="57" t="s">
        <v>22</v>
      </c>
      <c r="C7" s="57">
        <v>399</v>
      </c>
      <c r="D7" s="243">
        <v>411</v>
      </c>
      <c r="E7" s="243">
        <v>468</v>
      </c>
      <c r="F7" s="43"/>
      <c r="G7" s="243">
        <v>416</v>
      </c>
      <c r="H7" s="243">
        <v>437</v>
      </c>
      <c r="I7" s="243">
        <v>449</v>
      </c>
      <c r="J7" s="47"/>
      <c r="K7" s="39"/>
      <c r="L7" s="28">
        <f>SUM(C7:K7)</f>
        <v>2580</v>
      </c>
      <c r="M7" s="26">
        <v>7</v>
      </c>
      <c r="N7" s="26">
        <v>1</v>
      </c>
      <c r="O7" s="28">
        <f>L7-2386</f>
        <v>194</v>
      </c>
      <c r="P7" s="26">
        <v>2</v>
      </c>
      <c r="Q7" s="79">
        <v>1</v>
      </c>
      <c r="R7" s="79"/>
      <c r="S7" s="79"/>
    </row>
    <row r="8" spans="1:19" s="104" customFormat="1" ht="15.75">
      <c r="A8" s="145" t="s">
        <v>2</v>
      </c>
      <c r="B8" s="121" t="s">
        <v>196</v>
      </c>
      <c r="C8" s="121"/>
      <c r="D8" s="258">
        <v>418</v>
      </c>
      <c r="E8" s="120">
        <v>388</v>
      </c>
      <c r="F8" s="120">
        <v>396</v>
      </c>
      <c r="G8" s="120">
        <v>418</v>
      </c>
      <c r="H8" s="120"/>
      <c r="I8" s="258">
        <v>462</v>
      </c>
      <c r="J8" s="129"/>
      <c r="K8" s="260">
        <v>440</v>
      </c>
      <c r="L8" s="154">
        <f>SUM(C8:K8)</f>
        <v>2522</v>
      </c>
      <c r="M8" s="100">
        <v>5</v>
      </c>
      <c r="N8" s="100">
        <v>3</v>
      </c>
      <c r="O8" s="154">
        <v>85</v>
      </c>
      <c r="P8" s="100">
        <v>2</v>
      </c>
      <c r="Q8" s="194">
        <v>1</v>
      </c>
      <c r="R8" s="194"/>
      <c r="S8" s="194"/>
    </row>
    <row r="9" spans="1:19" s="114" customFormat="1" ht="15.75">
      <c r="A9" s="110" t="s">
        <v>3</v>
      </c>
      <c r="B9" s="152" t="s">
        <v>19</v>
      </c>
      <c r="C9" s="152">
        <v>388</v>
      </c>
      <c r="D9" s="138">
        <v>411</v>
      </c>
      <c r="E9" s="265">
        <v>440</v>
      </c>
      <c r="F9" s="158"/>
      <c r="G9" s="264">
        <v>442</v>
      </c>
      <c r="H9" s="158">
        <v>408</v>
      </c>
      <c r="I9" s="264">
        <v>461</v>
      </c>
      <c r="J9" s="158"/>
      <c r="K9" s="159"/>
      <c r="L9" s="109">
        <f>SUM(C9:K9)</f>
        <v>2550</v>
      </c>
      <c r="M9" s="110">
        <v>5</v>
      </c>
      <c r="N9" s="110">
        <v>3</v>
      </c>
      <c r="O9" s="109">
        <f>L9-2485</f>
        <v>65</v>
      </c>
      <c r="P9" s="110">
        <v>2</v>
      </c>
      <c r="Q9" s="196">
        <v>1</v>
      </c>
      <c r="R9" s="196"/>
      <c r="S9" s="196"/>
    </row>
    <row r="10" spans="1:19" s="104" customFormat="1" ht="15.75">
      <c r="A10" s="145" t="s">
        <v>4</v>
      </c>
      <c r="B10" s="153" t="s">
        <v>24</v>
      </c>
      <c r="C10" s="153"/>
      <c r="D10" s="257">
        <v>435</v>
      </c>
      <c r="E10" s="257">
        <v>442</v>
      </c>
      <c r="F10" s="257">
        <v>442</v>
      </c>
      <c r="G10" s="146"/>
      <c r="H10" s="146">
        <v>432</v>
      </c>
      <c r="I10" s="257">
        <v>439</v>
      </c>
      <c r="J10" s="160"/>
      <c r="K10" s="165">
        <v>430</v>
      </c>
      <c r="L10" s="154">
        <f>SUM(C10:K10)</f>
        <v>2620</v>
      </c>
      <c r="M10" s="100">
        <v>6</v>
      </c>
      <c r="N10" s="100">
        <v>2</v>
      </c>
      <c r="O10" s="154">
        <f>L10-2531</f>
        <v>89</v>
      </c>
      <c r="P10" s="100">
        <v>2</v>
      </c>
      <c r="Q10" s="194">
        <v>1</v>
      </c>
      <c r="R10" s="194"/>
      <c r="S10" s="194"/>
    </row>
    <row r="11" spans="1:19" s="104" customFormat="1" ht="15.75">
      <c r="A11" s="145" t="s">
        <v>5</v>
      </c>
      <c r="B11" s="153" t="s">
        <v>255</v>
      </c>
      <c r="C11" s="207"/>
      <c r="D11" s="208"/>
      <c r="E11" s="208"/>
      <c r="F11" s="208"/>
      <c r="G11" s="208"/>
      <c r="H11" s="208"/>
      <c r="I11" s="208"/>
      <c r="J11" s="208"/>
      <c r="K11" s="209"/>
      <c r="L11" s="154" t="s">
        <v>255</v>
      </c>
      <c r="M11" s="183"/>
      <c r="N11" s="183"/>
      <c r="O11" s="183"/>
      <c r="P11" s="183"/>
      <c r="Q11" s="199"/>
      <c r="R11" s="199"/>
      <c r="S11" s="199"/>
    </row>
    <row r="12" spans="1:19" s="30" customFormat="1" ht="15.75">
      <c r="A12" s="26" t="s">
        <v>6</v>
      </c>
      <c r="B12" s="57" t="s">
        <v>15</v>
      </c>
      <c r="C12" s="57"/>
      <c r="D12" s="243">
        <v>453</v>
      </c>
      <c r="E12" s="243">
        <v>452</v>
      </c>
      <c r="F12" s="43">
        <v>422</v>
      </c>
      <c r="G12" s="43">
        <v>402</v>
      </c>
      <c r="H12" s="243">
        <v>455</v>
      </c>
      <c r="I12" s="243">
        <v>439</v>
      </c>
      <c r="J12" s="47"/>
      <c r="K12" s="39"/>
      <c r="L12" s="28">
        <f aca="true" t="shared" si="0" ref="L12:L22">SUM(C12:K12)</f>
        <v>2623</v>
      </c>
      <c r="M12" s="26">
        <v>6</v>
      </c>
      <c r="N12" s="26">
        <v>2</v>
      </c>
      <c r="O12" s="28">
        <f>L12-2549</f>
        <v>74</v>
      </c>
      <c r="P12" s="26">
        <v>2</v>
      </c>
      <c r="Q12" s="79">
        <v>1</v>
      </c>
      <c r="R12" s="79"/>
      <c r="S12" s="79"/>
    </row>
    <row r="13" spans="1:19" s="104" customFormat="1" ht="15.75">
      <c r="A13" s="145" t="s">
        <v>7</v>
      </c>
      <c r="B13" s="121" t="s">
        <v>263</v>
      </c>
      <c r="C13" s="121"/>
      <c r="D13" s="258">
        <v>219</v>
      </c>
      <c r="E13" s="120">
        <v>407</v>
      </c>
      <c r="F13" s="120">
        <v>385</v>
      </c>
      <c r="G13" s="258">
        <v>210</v>
      </c>
      <c r="H13" s="258">
        <v>454</v>
      </c>
      <c r="I13" s="258">
        <v>426</v>
      </c>
      <c r="J13" s="129"/>
      <c r="K13" s="260">
        <v>440</v>
      </c>
      <c r="L13" s="154">
        <f t="shared" si="0"/>
        <v>2541</v>
      </c>
      <c r="M13" s="100">
        <v>6</v>
      </c>
      <c r="N13" s="100">
        <v>2</v>
      </c>
      <c r="O13" s="154">
        <v>70</v>
      </c>
      <c r="P13" s="100">
        <v>2</v>
      </c>
      <c r="Q13" s="194">
        <v>1</v>
      </c>
      <c r="R13" s="194"/>
      <c r="S13" s="194"/>
    </row>
    <row r="14" spans="1:19" s="114" customFormat="1" ht="15.75">
      <c r="A14" s="110" t="s">
        <v>8</v>
      </c>
      <c r="B14" s="152" t="s">
        <v>23</v>
      </c>
      <c r="C14" s="152"/>
      <c r="D14" s="138">
        <v>417</v>
      </c>
      <c r="E14" s="138">
        <v>412</v>
      </c>
      <c r="F14" s="138"/>
      <c r="G14" s="138">
        <v>413</v>
      </c>
      <c r="H14" s="138">
        <v>403</v>
      </c>
      <c r="I14" s="265">
        <v>432</v>
      </c>
      <c r="J14" s="158"/>
      <c r="K14" s="268">
        <v>450</v>
      </c>
      <c r="L14" s="109">
        <f t="shared" si="0"/>
        <v>2527</v>
      </c>
      <c r="M14" s="110">
        <v>2</v>
      </c>
      <c r="N14" s="110">
        <v>6</v>
      </c>
      <c r="O14" s="109">
        <v>-61</v>
      </c>
      <c r="P14" s="110">
        <v>0</v>
      </c>
      <c r="Q14" s="196"/>
      <c r="R14" s="196"/>
      <c r="S14" s="196">
        <v>1</v>
      </c>
    </row>
    <row r="15" spans="1:19" s="104" customFormat="1" ht="15.75">
      <c r="A15" s="145" t="s">
        <v>9</v>
      </c>
      <c r="B15" s="153" t="s">
        <v>260</v>
      </c>
      <c r="C15" s="257">
        <v>421</v>
      </c>
      <c r="D15" s="257">
        <v>462</v>
      </c>
      <c r="E15" s="146"/>
      <c r="F15" s="257">
        <v>452</v>
      </c>
      <c r="G15" s="146">
        <v>399</v>
      </c>
      <c r="H15" s="146"/>
      <c r="I15" s="146">
        <v>382</v>
      </c>
      <c r="J15" s="160"/>
      <c r="K15" s="165">
        <v>406</v>
      </c>
      <c r="L15" s="154">
        <f t="shared" si="0"/>
        <v>2522</v>
      </c>
      <c r="M15" s="100">
        <v>3</v>
      </c>
      <c r="N15" s="100">
        <v>5</v>
      </c>
      <c r="O15" s="100">
        <f>-28</f>
        <v>-28</v>
      </c>
      <c r="P15" s="100">
        <v>0</v>
      </c>
      <c r="Q15" s="194"/>
      <c r="R15" s="194"/>
      <c r="S15" s="194">
        <v>1</v>
      </c>
    </row>
    <row r="16" spans="1:19" s="30" customFormat="1" ht="15.75">
      <c r="A16" s="26" t="s">
        <v>10</v>
      </c>
      <c r="B16" s="57" t="s">
        <v>209</v>
      </c>
      <c r="C16" s="57">
        <v>395</v>
      </c>
      <c r="D16" s="243">
        <v>424</v>
      </c>
      <c r="E16" s="43"/>
      <c r="F16" s="243">
        <v>416</v>
      </c>
      <c r="G16" s="43"/>
      <c r="H16" s="43">
        <v>390</v>
      </c>
      <c r="I16" s="43">
        <v>394</v>
      </c>
      <c r="J16" s="47"/>
      <c r="K16" s="39">
        <v>377</v>
      </c>
      <c r="L16" s="28">
        <f t="shared" si="0"/>
        <v>2396</v>
      </c>
      <c r="M16" s="26">
        <v>4</v>
      </c>
      <c r="N16" s="26">
        <v>4</v>
      </c>
      <c r="O16" s="26">
        <v>11</v>
      </c>
      <c r="P16" s="26">
        <v>1</v>
      </c>
      <c r="Q16" s="79"/>
      <c r="R16" s="79">
        <v>1</v>
      </c>
      <c r="S16" s="79"/>
    </row>
    <row r="17" spans="1:19" s="104" customFormat="1" ht="15.75">
      <c r="A17" s="145" t="s">
        <v>11</v>
      </c>
      <c r="B17" s="121" t="s">
        <v>16</v>
      </c>
      <c r="C17" s="258">
        <v>457</v>
      </c>
      <c r="D17" s="258">
        <v>427</v>
      </c>
      <c r="E17" s="120">
        <v>416</v>
      </c>
      <c r="F17" s="258">
        <v>416</v>
      </c>
      <c r="G17" s="120"/>
      <c r="H17" s="120">
        <v>384</v>
      </c>
      <c r="I17" s="120">
        <v>400</v>
      </c>
      <c r="J17" s="129"/>
      <c r="K17" s="157"/>
      <c r="L17" s="154">
        <f t="shared" si="0"/>
        <v>2500</v>
      </c>
      <c r="M17" s="100">
        <v>5</v>
      </c>
      <c r="N17" s="100">
        <v>3</v>
      </c>
      <c r="O17" s="154">
        <v>32</v>
      </c>
      <c r="P17" s="100">
        <v>2</v>
      </c>
      <c r="Q17" s="194">
        <v>1</v>
      </c>
      <c r="R17" s="194"/>
      <c r="S17" s="194"/>
    </row>
    <row r="18" spans="1:19" s="30" customFormat="1" ht="15.75">
      <c r="A18" s="110" t="s">
        <v>12</v>
      </c>
      <c r="B18" s="152" t="s">
        <v>205</v>
      </c>
      <c r="C18" s="265">
        <v>444</v>
      </c>
      <c r="D18" s="138">
        <v>385</v>
      </c>
      <c r="E18" s="138">
        <v>406</v>
      </c>
      <c r="F18" s="138">
        <v>413</v>
      </c>
      <c r="G18" s="265">
        <v>437</v>
      </c>
      <c r="H18" s="138"/>
      <c r="I18" s="138"/>
      <c r="J18" s="158"/>
      <c r="K18" s="159">
        <v>413</v>
      </c>
      <c r="L18" s="28">
        <f t="shared" si="0"/>
        <v>2498</v>
      </c>
      <c r="M18" s="26">
        <v>2</v>
      </c>
      <c r="N18" s="26">
        <v>6</v>
      </c>
      <c r="O18" s="28">
        <v>-40</v>
      </c>
      <c r="P18" s="26">
        <v>0</v>
      </c>
      <c r="Q18" s="79"/>
      <c r="R18" s="79"/>
      <c r="S18" s="79">
        <v>1</v>
      </c>
    </row>
    <row r="19" spans="1:19" s="148" customFormat="1" ht="15.75">
      <c r="A19" s="100" t="s">
        <v>13</v>
      </c>
      <c r="B19" s="146" t="s">
        <v>21</v>
      </c>
      <c r="C19" s="160"/>
      <c r="D19" s="146"/>
      <c r="E19" s="257">
        <v>424</v>
      </c>
      <c r="F19" s="146">
        <v>391</v>
      </c>
      <c r="G19" s="257">
        <v>428</v>
      </c>
      <c r="H19" s="146">
        <v>398</v>
      </c>
      <c r="I19" s="257">
        <v>409</v>
      </c>
      <c r="J19" s="160"/>
      <c r="K19" s="269">
        <v>407</v>
      </c>
      <c r="L19" s="175">
        <f t="shared" si="0"/>
        <v>2457</v>
      </c>
      <c r="M19" s="145">
        <v>6</v>
      </c>
      <c r="N19" s="145">
        <v>2</v>
      </c>
      <c r="O19" s="175">
        <v>27</v>
      </c>
      <c r="P19" s="145">
        <v>2</v>
      </c>
      <c r="Q19" s="195">
        <v>1</v>
      </c>
      <c r="R19" s="195"/>
      <c r="S19" s="195"/>
    </row>
    <row r="20" spans="1:19" s="30" customFormat="1" ht="15.75">
      <c r="A20" s="110" t="s">
        <v>14</v>
      </c>
      <c r="B20" s="47" t="s">
        <v>26</v>
      </c>
      <c r="C20" s="47"/>
      <c r="D20" s="43">
        <v>409</v>
      </c>
      <c r="E20" s="243">
        <v>438</v>
      </c>
      <c r="F20" s="43">
        <v>432</v>
      </c>
      <c r="G20" s="43"/>
      <c r="H20" s="243">
        <v>441</v>
      </c>
      <c r="I20" s="43">
        <v>406</v>
      </c>
      <c r="J20" s="47"/>
      <c r="K20" s="250">
        <v>437</v>
      </c>
      <c r="L20" s="28">
        <f t="shared" si="0"/>
        <v>2563</v>
      </c>
      <c r="M20" s="26">
        <v>3</v>
      </c>
      <c r="N20" s="26">
        <v>5</v>
      </c>
      <c r="O20" s="28">
        <f>L20-2660</f>
        <v>-97</v>
      </c>
      <c r="P20" s="26">
        <v>0</v>
      </c>
      <c r="Q20" s="79"/>
      <c r="R20" s="79"/>
      <c r="S20" s="79">
        <v>1</v>
      </c>
    </row>
    <row r="21" spans="1:19" s="23" customFormat="1" ht="15.75">
      <c r="A21" s="145" t="s">
        <v>261</v>
      </c>
      <c r="B21" s="120" t="s">
        <v>208</v>
      </c>
      <c r="C21" s="129">
        <v>408</v>
      </c>
      <c r="D21" s="120"/>
      <c r="E21" s="258">
        <v>453</v>
      </c>
      <c r="F21" s="258">
        <v>429</v>
      </c>
      <c r="G21" s="120">
        <v>176</v>
      </c>
      <c r="H21" s="120">
        <v>411</v>
      </c>
      <c r="I21" s="258">
        <v>456</v>
      </c>
      <c r="J21" s="129"/>
      <c r="K21" s="157">
        <v>225</v>
      </c>
      <c r="L21" s="21">
        <f t="shared" si="0"/>
        <v>2558</v>
      </c>
      <c r="M21" s="19">
        <v>3</v>
      </c>
      <c r="N21" s="19">
        <v>5</v>
      </c>
      <c r="O21" s="21">
        <v>-10</v>
      </c>
      <c r="P21" s="19">
        <v>0</v>
      </c>
      <c r="Q21" s="78"/>
      <c r="R21" s="78"/>
      <c r="S21" s="78">
        <v>1</v>
      </c>
    </row>
    <row r="22" spans="1:19" s="30" customFormat="1" ht="16.5" thickBot="1">
      <c r="A22" s="110" t="s">
        <v>262</v>
      </c>
      <c r="B22" s="138" t="s">
        <v>210</v>
      </c>
      <c r="C22" s="179">
        <v>391</v>
      </c>
      <c r="D22" s="287">
        <v>426</v>
      </c>
      <c r="E22" s="177"/>
      <c r="F22" s="177">
        <v>416</v>
      </c>
      <c r="G22" s="177"/>
      <c r="H22" s="287">
        <v>429</v>
      </c>
      <c r="I22" s="287">
        <v>431</v>
      </c>
      <c r="J22" s="177"/>
      <c r="K22" s="315">
        <v>438</v>
      </c>
      <c r="L22" s="41">
        <f t="shared" si="0"/>
        <v>2531</v>
      </c>
      <c r="M22" s="38">
        <v>6</v>
      </c>
      <c r="N22" s="38">
        <v>2</v>
      </c>
      <c r="O22" s="41">
        <v>90</v>
      </c>
      <c r="P22" s="38">
        <v>2</v>
      </c>
      <c r="Q22" s="80">
        <v>1</v>
      </c>
      <c r="R22" s="80"/>
      <c r="S22" s="80"/>
    </row>
    <row r="23" spans="3:19" ht="16.5" thickTop="1">
      <c r="C23" s="6">
        <f>SUM(C6:C11)+SUM(C13:C22)</f>
        <v>3747</v>
      </c>
      <c r="D23" s="6">
        <f>SUM(D6:D12)+SUM(D14:D22)</f>
        <v>5509</v>
      </c>
      <c r="E23" s="6">
        <f aca="true" t="shared" si="1" ref="E23:J23">SUM(E6:E22)</f>
        <v>5579</v>
      </c>
      <c r="F23" s="6">
        <f>SUM(F6:F12)+SUM(F13:F22)</f>
        <v>5409</v>
      </c>
      <c r="G23" s="6">
        <f>SUM(G6:G12)+SUM(G14:G20)+G22</f>
        <v>3355</v>
      </c>
      <c r="H23" s="6">
        <f t="shared" si="1"/>
        <v>5455</v>
      </c>
      <c r="I23" s="6">
        <f t="shared" si="1"/>
        <v>5986</v>
      </c>
      <c r="J23" s="6">
        <f t="shared" si="1"/>
        <v>0</v>
      </c>
      <c r="K23" s="6">
        <f>SUM(K6:K13)+SUM(K14:K20)+K22</f>
        <v>4613</v>
      </c>
      <c r="Q23" s="81">
        <f>SUM(Q6:Q22)</f>
        <v>10</v>
      </c>
      <c r="R23" s="81">
        <f>SUM(R6:R22)</f>
        <v>1</v>
      </c>
      <c r="S23" s="81">
        <f>SUM(S6:S22)</f>
        <v>5</v>
      </c>
    </row>
    <row r="24" spans="2:18" ht="15.75">
      <c r="B24" s="1" t="s">
        <v>225</v>
      </c>
      <c r="C24" s="6">
        <f>COUNT(C6:C11)+COUNT(C13:C22)</f>
        <v>9</v>
      </c>
      <c r="D24" s="6">
        <f>COUNT(D6:D12)+COUNT(D14:D22)</f>
        <v>13</v>
      </c>
      <c r="E24" s="6">
        <f>COUNT(E6:E22)</f>
        <v>13</v>
      </c>
      <c r="F24" s="6">
        <f>COUNT(F6:F12)+COUNT(F13:F22)</f>
        <v>13</v>
      </c>
      <c r="G24" s="6">
        <f>COUNT(G6:G12)+COUNT(G14:G20)+COUNT(G22)</f>
        <v>8</v>
      </c>
      <c r="H24" s="6">
        <f>COUNT(H6:H22)</f>
        <v>13</v>
      </c>
      <c r="I24" s="6">
        <f>COUNT(I6:I22)</f>
        <v>14</v>
      </c>
      <c r="J24" s="6">
        <f>COUNT(J6:J22)</f>
        <v>0</v>
      </c>
      <c r="K24" s="6">
        <f>COUNT(K6:K13)+COUNT(K14:K20)+COUNT(K22)</f>
        <v>11</v>
      </c>
      <c r="Q24"/>
      <c r="R24"/>
    </row>
    <row r="25" spans="2:18" ht="31.5">
      <c r="B25" s="11" t="s">
        <v>127</v>
      </c>
      <c r="C25" s="16">
        <f>C23/C24</f>
        <v>416.3333333333333</v>
      </c>
      <c r="D25" s="16">
        <f>D23/D24</f>
        <v>423.7692307692308</v>
      </c>
      <c r="E25" s="16">
        <f>AVERAGE(E6:E22)</f>
        <v>429.15384615384613</v>
      </c>
      <c r="F25" s="16">
        <f>F23/F24</f>
        <v>416.0769230769231</v>
      </c>
      <c r="G25" s="16">
        <f>G23/G24</f>
        <v>419.375</v>
      </c>
      <c r="H25" s="16">
        <f>AVERAGE(H6:H22)</f>
        <v>419.61538461538464</v>
      </c>
      <c r="I25" s="16">
        <f>AVERAGE(I6:I22)</f>
        <v>427.57142857142856</v>
      </c>
      <c r="J25" s="16"/>
      <c r="K25" s="16">
        <f>K23/K24</f>
        <v>419.3636363636364</v>
      </c>
      <c r="L25" s="3" t="s">
        <v>30</v>
      </c>
      <c r="M25" s="371" t="s">
        <v>115</v>
      </c>
      <c r="N25" s="371"/>
      <c r="O25" s="3" t="s">
        <v>31</v>
      </c>
      <c r="P25" s="10" t="s">
        <v>116</v>
      </c>
      <c r="Q25" s="74" t="s">
        <v>126</v>
      </c>
      <c r="R25" s="74" t="s">
        <v>223</v>
      </c>
    </row>
    <row r="26" spans="12:18" ht="15.75">
      <c r="L26" s="6">
        <f>SUM(L6:L22)</f>
        <v>40483</v>
      </c>
      <c r="M26" s="1">
        <f>SUM(M6:M22)</f>
        <v>74</v>
      </c>
      <c r="N26" s="1">
        <f>SUM(N6:N22)</f>
        <v>54</v>
      </c>
      <c r="O26" s="1">
        <f>SUM(O6:O22)</f>
        <v>508</v>
      </c>
      <c r="P26" s="1">
        <f>SUM(P6:P22)</f>
        <v>21</v>
      </c>
      <c r="Q26" s="77">
        <f>M26-N26</f>
        <v>20</v>
      </c>
      <c r="R26" s="56">
        <f>SUM(Q23:S23)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19" ht="16.5" thickBo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226"/>
    </row>
    <row r="30" spans="2:19" ht="32.25" thickBot="1">
      <c r="B30" s="3" t="s">
        <v>25</v>
      </c>
      <c r="C30" s="8" t="s">
        <v>171</v>
      </c>
      <c r="D30" s="8" t="s">
        <v>50</v>
      </c>
      <c r="E30" s="8" t="s">
        <v>51</v>
      </c>
      <c r="F30" s="8" t="s">
        <v>52</v>
      </c>
      <c r="G30" s="8" t="s">
        <v>172</v>
      </c>
      <c r="H30" s="8" t="s">
        <v>173</v>
      </c>
      <c r="I30" s="8" t="s">
        <v>189</v>
      </c>
      <c r="J30" s="8" t="s">
        <v>257</v>
      </c>
      <c r="K30" s="8" t="s">
        <v>270</v>
      </c>
      <c r="L30" s="3" t="s">
        <v>30</v>
      </c>
      <c r="M30" s="3" t="s">
        <v>17</v>
      </c>
      <c r="N30" s="3" t="s">
        <v>29</v>
      </c>
      <c r="O30" s="3" t="s">
        <v>31</v>
      </c>
      <c r="P30" s="10" t="s">
        <v>114</v>
      </c>
      <c r="Q30" s="2" t="s">
        <v>184</v>
      </c>
      <c r="R30" s="2" t="s">
        <v>185</v>
      </c>
      <c r="S30" s="2" t="s">
        <v>186</v>
      </c>
    </row>
    <row r="31" spans="1:19" s="104" customFormat="1" ht="15.75">
      <c r="A31" s="19" t="s">
        <v>153</v>
      </c>
      <c r="B31" s="137" t="s">
        <v>23</v>
      </c>
      <c r="C31" s="42"/>
      <c r="D31" s="42">
        <v>416</v>
      </c>
      <c r="E31" s="244">
        <v>456</v>
      </c>
      <c r="F31" s="42">
        <v>400</v>
      </c>
      <c r="G31" s="42"/>
      <c r="H31" s="42">
        <v>381</v>
      </c>
      <c r="I31" s="244">
        <v>448</v>
      </c>
      <c r="J31" s="42"/>
      <c r="K31" s="244">
        <v>458</v>
      </c>
      <c r="L31" s="100">
        <f>SUM(C31:K31)</f>
        <v>2559</v>
      </c>
      <c r="M31" s="100">
        <v>3</v>
      </c>
      <c r="N31" s="100">
        <v>5</v>
      </c>
      <c r="O31" s="100">
        <v>-6</v>
      </c>
      <c r="P31" s="100">
        <v>0</v>
      </c>
      <c r="S31" s="104">
        <v>1</v>
      </c>
    </row>
    <row r="32" spans="1:19" s="114" customFormat="1" ht="15.75">
      <c r="A32" s="26" t="s">
        <v>154</v>
      </c>
      <c r="B32" s="57" t="s">
        <v>260</v>
      </c>
      <c r="C32" s="43">
        <v>416</v>
      </c>
      <c r="D32" s="243">
        <v>420</v>
      </c>
      <c r="E32" s="43"/>
      <c r="F32" s="243">
        <v>450</v>
      </c>
      <c r="G32" s="43">
        <v>407</v>
      </c>
      <c r="H32" s="43"/>
      <c r="I32" s="43">
        <v>408</v>
      </c>
      <c r="J32" s="43"/>
      <c r="K32" s="43">
        <v>350</v>
      </c>
      <c r="L32" s="110">
        <f aca="true" t="shared" si="2" ref="L32:L47">SUM(C32:K32)</f>
        <v>2451</v>
      </c>
      <c r="M32" s="110">
        <v>2</v>
      </c>
      <c r="N32" s="110">
        <v>6</v>
      </c>
      <c r="O32" s="110">
        <v>-86</v>
      </c>
      <c r="P32" s="110">
        <v>0</v>
      </c>
      <c r="S32" s="114">
        <v>1</v>
      </c>
    </row>
    <row r="33" spans="1:17" s="23" customFormat="1" ht="15.75">
      <c r="A33" s="145" t="s">
        <v>155</v>
      </c>
      <c r="B33" s="153" t="s">
        <v>209</v>
      </c>
      <c r="C33" s="146"/>
      <c r="D33" s="146">
        <v>403</v>
      </c>
      <c r="E33" s="146">
        <v>409</v>
      </c>
      <c r="F33" s="257">
        <v>425</v>
      </c>
      <c r="G33" s="257">
        <v>416</v>
      </c>
      <c r="H33" s="146">
        <v>401</v>
      </c>
      <c r="I33" s="257">
        <v>413</v>
      </c>
      <c r="J33" s="146"/>
      <c r="K33" s="146"/>
      <c r="L33" s="19">
        <f t="shared" si="2"/>
        <v>2467</v>
      </c>
      <c r="M33" s="19">
        <v>5</v>
      </c>
      <c r="N33" s="19">
        <v>3</v>
      </c>
      <c r="O33" s="19">
        <f>L33-2201</f>
        <v>266</v>
      </c>
      <c r="P33" s="19">
        <v>2</v>
      </c>
      <c r="Q33" s="23">
        <v>1</v>
      </c>
    </row>
    <row r="34" spans="1:19" s="114" customFormat="1" ht="15.75">
      <c r="A34" s="26" t="s">
        <v>156</v>
      </c>
      <c r="B34" s="57" t="s">
        <v>16</v>
      </c>
      <c r="C34" s="43">
        <v>411</v>
      </c>
      <c r="D34" s="43"/>
      <c r="E34" s="243">
        <v>422</v>
      </c>
      <c r="F34" s="43"/>
      <c r="G34" s="43">
        <v>402</v>
      </c>
      <c r="H34" s="43">
        <v>409</v>
      </c>
      <c r="I34" s="243">
        <v>443</v>
      </c>
      <c r="J34" s="43"/>
      <c r="K34" s="43">
        <v>406</v>
      </c>
      <c r="L34" s="110">
        <f t="shared" si="2"/>
        <v>2493</v>
      </c>
      <c r="M34" s="110">
        <v>2</v>
      </c>
      <c r="N34" s="110">
        <v>6</v>
      </c>
      <c r="O34" s="110">
        <v>-106</v>
      </c>
      <c r="P34" s="110">
        <v>0</v>
      </c>
      <c r="S34" s="114">
        <v>1</v>
      </c>
    </row>
    <row r="35" spans="1:19" s="23" customFormat="1" ht="15.75">
      <c r="A35" s="100" t="s">
        <v>157</v>
      </c>
      <c r="B35" s="121" t="s">
        <v>205</v>
      </c>
      <c r="C35" s="120">
        <v>392</v>
      </c>
      <c r="D35" s="258">
        <v>424</v>
      </c>
      <c r="E35" s="120">
        <v>396</v>
      </c>
      <c r="F35" s="120">
        <v>420</v>
      </c>
      <c r="G35" s="120"/>
      <c r="H35" s="120">
        <v>401</v>
      </c>
      <c r="I35" s="258">
        <v>422</v>
      </c>
      <c r="J35" s="292"/>
      <c r="K35" s="310"/>
      <c r="L35" s="19">
        <f t="shared" si="2"/>
        <v>2455</v>
      </c>
      <c r="M35" s="19">
        <v>2</v>
      </c>
      <c r="N35" s="19">
        <v>6</v>
      </c>
      <c r="O35" s="19">
        <v>-105</v>
      </c>
      <c r="P35" s="19">
        <v>0</v>
      </c>
      <c r="S35" s="23">
        <v>1</v>
      </c>
    </row>
    <row r="36" spans="1:19" s="114" customFormat="1" ht="15.75">
      <c r="A36" s="110" t="s">
        <v>158</v>
      </c>
      <c r="B36" s="118" t="s">
        <v>21</v>
      </c>
      <c r="C36" s="118"/>
      <c r="D36" s="118">
        <v>178</v>
      </c>
      <c r="E36" s="255">
        <v>427</v>
      </c>
      <c r="F36" s="43">
        <v>382</v>
      </c>
      <c r="G36" s="243">
        <v>486</v>
      </c>
      <c r="H36" s="43">
        <v>193</v>
      </c>
      <c r="I36" s="43">
        <v>420</v>
      </c>
      <c r="J36" s="57"/>
      <c r="K36" s="243">
        <v>437</v>
      </c>
      <c r="L36" s="110">
        <f t="shared" si="2"/>
        <v>2523</v>
      </c>
      <c r="M36" s="110">
        <v>3</v>
      </c>
      <c r="N36" s="110">
        <v>5</v>
      </c>
      <c r="O36" s="110">
        <v>44</v>
      </c>
      <c r="P36" s="110">
        <v>0</v>
      </c>
      <c r="S36" s="114">
        <v>1</v>
      </c>
    </row>
    <row r="37" spans="1:19" s="148" customFormat="1" ht="15.75">
      <c r="A37" s="100" t="s">
        <v>159</v>
      </c>
      <c r="B37" s="129" t="s">
        <v>26</v>
      </c>
      <c r="C37" s="120">
        <v>396</v>
      </c>
      <c r="D37" s="258">
        <v>432</v>
      </c>
      <c r="E37" s="120"/>
      <c r="F37" s="120">
        <v>399</v>
      </c>
      <c r="G37" s="120"/>
      <c r="H37" s="120">
        <v>420</v>
      </c>
      <c r="I37" s="120"/>
      <c r="J37" s="258">
        <v>449</v>
      </c>
      <c r="K37" s="120">
        <v>403</v>
      </c>
      <c r="L37" s="145">
        <f t="shared" si="2"/>
        <v>2499</v>
      </c>
      <c r="M37" s="145">
        <v>2</v>
      </c>
      <c r="N37" s="145">
        <v>6</v>
      </c>
      <c r="O37" s="145">
        <v>-92</v>
      </c>
      <c r="P37" s="145">
        <v>0</v>
      </c>
      <c r="S37" s="148">
        <v>1</v>
      </c>
    </row>
    <row r="38" spans="1:17" s="114" customFormat="1" ht="15.75">
      <c r="A38" s="26" t="s">
        <v>160</v>
      </c>
      <c r="B38" s="43" t="s">
        <v>208</v>
      </c>
      <c r="C38" s="243">
        <v>462</v>
      </c>
      <c r="D38" s="43"/>
      <c r="E38" s="43"/>
      <c r="F38" s="43">
        <v>418</v>
      </c>
      <c r="G38" s="243">
        <v>424</v>
      </c>
      <c r="H38" s="43">
        <v>412</v>
      </c>
      <c r="I38" s="43">
        <v>399</v>
      </c>
      <c r="J38" s="43"/>
      <c r="K38" s="243">
        <v>423</v>
      </c>
      <c r="L38" s="110">
        <f t="shared" si="2"/>
        <v>2538</v>
      </c>
      <c r="M38" s="110">
        <v>5</v>
      </c>
      <c r="N38" s="110">
        <v>3</v>
      </c>
      <c r="O38" s="110">
        <v>2</v>
      </c>
      <c r="P38" s="110">
        <v>2</v>
      </c>
      <c r="Q38" s="114">
        <v>1</v>
      </c>
    </row>
    <row r="39" spans="1:17" s="104" customFormat="1" ht="15.75">
      <c r="A39" s="19" t="s">
        <v>161</v>
      </c>
      <c r="B39" s="42" t="s">
        <v>210</v>
      </c>
      <c r="C39" s="42"/>
      <c r="D39" s="42"/>
      <c r="E39" s="42">
        <v>421</v>
      </c>
      <c r="F39" s="244">
        <v>447</v>
      </c>
      <c r="G39" s="42">
        <v>411</v>
      </c>
      <c r="H39" s="244">
        <v>441</v>
      </c>
      <c r="I39" s="244">
        <v>442</v>
      </c>
      <c r="J39" s="244">
        <v>440</v>
      </c>
      <c r="K39" s="42"/>
      <c r="L39" s="100">
        <f t="shared" si="2"/>
        <v>2602</v>
      </c>
      <c r="M39" s="100">
        <v>6</v>
      </c>
      <c r="N39" s="100">
        <v>2</v>
      </c>
      <c r="O39" s="100">
        <v>149</v>
      </c>
      <c r="P39" s="100">
        <v>2</v>
      </c>
      <c r="Q39" s="104">
        <v>1</v>
      </c>
    </row>
    <row r="40" spans="1:17" s="114" customFormat="1" ht="15.75">
      <c r="A40" s="26" t="s">
        <v>162</v>
      </c>
      <c r="B40" s="57" t="s">
        <v>20</v>
      </c>
      <c r="C40" s="243">
        <v>437</v>
      </c>
      <c r="D40" s="43"/>
      <c r="E40" s="43">
        <v>427</v>
      </c>
      <c r="F40" s="43">
        <v>406</v>
      </c>
      <c r="G40" s="243">
        <v>431</v>
      </c>
      <c r="H40" s="43"/>
      <c r="I40" s="43"/>
      <c r="J40" s="243">
        <v>442</v>
      </c>
      <c r="K40" s="43">
        <v>422</v>
      </c>
      <c r="L40" s="110">
        <f t="shared" si="2"/>
        <v>2565</v>
      </c>
      <c r="M40" s="110">
        <v>5</v>
      </c>
      <c r="N40" s="110">
        <v>3</v>
      </c>
      <c r="O40" s="110">
        <v>11</v>
      </c>
      <c r="P40" s="110">
        <v>2</v>
      </c>
      <c r="Q40" s="114">
        <v>1</v>
      </c>
    </row>
    <row r="41" spans="1:17" s="104" customFormat="1" ht="15.75">
      <c r="A41" s="19" t="s">
        <v>163</v>
      </c>
      <c r="B41" s="137" t="s">
        <v>22</v>
      </c>
      <c r="C41" s="42"/>
      <c r="D41" s="42">
        <v>417</v>
      </c>
      <c r="E41" s="42">
        <v>412</v>
      </c>
      <c r="F41" s="244">
        <v>425</v>
      </c>
      <c r="G41" s="244">
        <v>434</v>
      </c>
      <c r="H41" s="244">
        <v>435</v>
      </c>
      <c r="I41" s="42"/>
      <c r="J41" s="42"/>
      <c r="K41" s="244">
        <v>426</v>
      </c>
      <c r="L41" s="100">
        <f t="shared" si="2"/>
        <v>2549</v>
      </c>
      <c r="M41" s="100">
        <v>6</v>
      </c>
      <c r="N41" s="100">
        <v>2</v>
      </c>
      <c r="O41" s="100">
        <v>49</v>
      </c>
      <c r="P41" s="100">
        <v>2</v>
      </c>
      <c r="Q41" s="104">
        <v>1</v>
      </c>
    </row>
    <row r="42" spans="1:17" s="114" customFormat="1" ht="15.75">
      <c r="A42" s="26" t="s">
        <v>164</v>
      </c>
      <c r="B42" s="57" t="s">
        <v>196</v>
      </c>
      <c r="C42" s="243">
        <v>434</v>
      </c>
      <c r="D42" s="43"/>
      <c r="E42" s="43">
        <v>408</v>
      </c>
      <c r="F42" s="43"/>
      <c r="G42" s="43"/>
      <c r="H42" s="243">
        <v>463</v>
      </c>
      <c r="I42" s="243">
        <v>449</v>
      </c>
      <c r="J42" s="243">
        <v>473</v>
      </c>
      <c r="K42" s="43">
        <v>431</v>
      </c>
      <c r="L42" s="110">
        <f t="shared" si="2"/>
        <v>2658</v>
      </c>
      <c r="M42" s="110">
        <v>6</v>
      </c>
      <c r="N42" s="110">
        <v>2</v>
      </c>
      <c r="O42" s="110">
        <f>L42-2475</f>
        <v>183</v>
      </c>
      <c r="P42" s="110">
        <v>2</v>
      </c>
      <c r="Q42" s="114">
        <v>1</v>
      </c>
    </row>
    <row r="43" spans="1:17" s="23" customFormat="1" ht="15.75">
      <c r="A43" s="145" t="s">
        <v>165</v>
      </c>
      <c r="B43" s="153" t="s">
        <v>19</v>
      </c>
      <c r="C43" s="146"/>
      <c r="D43" s="146">
        <v>412</v>
      </c>
      <c r="E43" s="146"/>
      <c r="F43" s="257">
        <v>431</v>
      </c>
      <c r="G43" s="257">
        <v>426</v>
      </c>
      <c r="H43" s="334">
        <v>424</v>
      </c>
      <c r="I43" s="146">
        <v>396</v>
      </c>
      <c r="J43" s="146"/>
      <c r="K43" s="146">
        <v>420</v>
      </c>
      <c r="L43" s="19">
        <f t="shared" si="2"/>
        <v>2509</v>
      </c>
      <c r="M43" s="19">
        <v>5</v>
      </c>
      <c r="N43" s="19">
        <v>3</v>
      </c>
      <c r="O43" s="19">
        <v>9</v>
      </c>
      <c r="P43" s="19">
        <v>2</v>
      </c>
      <c r="Q43" s="23">
        <v>1</v>
      </c>
    </row>
    <row r="44" spans="1:19" s="114" customFormat="1" ht="15.75">
      <c r="A44" s="26" t="s">
        <v>265</v>
      </c>
      <c r="B44" s="57" t="s">
        <v>24</v>
      </c>
      <c r="C44" s="243">
        <v>441</v>
      </c>
      <c r="D44" s="43"/>
      <c r="E44" s="43">
        <v>415</v>
      </c>
      <c r="F44" s="43"/>
      <c r="G44" s="43"/>
      <c r="H44" s="243">
        <v>417</v>
      </c>
      <c r="I44" s="43">
        <v>416</v>
      </c>
      <c r="J44" s="243">
        <v>438</v>
      </c>
      <c r="K44" s="43">
        <v>414</v>
      </c>
      <c r="L44" s="110">
        <f t="shared" si="2"/>
        <v>2541</v>
      </c>
      <c r="M44" s="110">
        <v>3</v>
      </c>
      <c r="N44" s="110">
        <v>5</v>
      </c>
      <c r="O44" s="110">
        <v>-4</v>
      </c>
      <c r="P44" s="110">
        <v>0</v>
      </c>
      <c r="S44" s="114">
        <v>1</v>
      </c>
    </row>
    <row r="45" spans="1:16" s="299" customFormat="1" ht="15.75">
      <c r="A45" s="293" t="s">
        <v>266</v>
      </c>
      <c r="B45" s="294" t="s">
        <v>255</v>
      </c>
      <c r="C45" s="300"/>
      <c r="D45" s="300"/>
      <c r="E45" s="300"/>
      <c r="F45" s="300"/>
      <c r="G45" s="300"/>
      <c r="H45" s="300"/>
      <c r="I45" s="300"/>
      <c r="J45" s="300"/>
      <c r="K45" s="300"/>
      <c r="L45" s="293">
        <f t="shared" si="2"/>
        <v>0</v>
      </c>
      <c r="M45" s="293"/>
      <c r="N45" s="293"/>
      <c r="O45" s="293"/>
      <c r="P45" s="293"/>
    </row>
    <row r="46" spans="1:17" s="148" customFormat="1" ht="15.75">
      <c r="A46" s="100" t="s">
        <v>303</v>
      </c>
      <c r="B46" s="121" t="s">
        <v>15</v>
      </c>
      <c r="C46" s="120"/>
      <c r="D46" s="120"/>
      <c r="E46" s="120">
        <v>399</v>
      </c>
      <c r="F46" s="120">
        <v>392</v>
      </c>
      <c r="G46" s="338">
        <v>417</v>
      </c>
      <c r="H46" s="338">
        <v>411</v>
      </c>
      <c r="I46" s="120">
        <v>410</v>
      </c>
      <c r="J46" s="338">
        <v>467</v>
      </c>
      <c r="K46" s="120"/>
      <c r="L46" s="145">
        <f t="shared" si="2"/>
        <v>2496</v>
      </c>
      <c r="M46" s="145">
        <v>5</v>
      </c>
      <c r="N46" s="145">
        <v>3</v>
      </c>
      <c r="O46" s="145">
        <v>13</v>
      </c>
      <c r="P46" s="145">
        <v>2</v>
      </c>
      <c r="Q46" s="148">
        <v>1</v>
      </c>
    </row>
    <row r="47" spans="1:19" s="114" customFormat="1" ht="16.5" thickBot="1">
      <c r="A47" s="26" t="s">
        <v>304</v>
      </c>
      <c r="B47" s="57" t="s">
        <v>263</v>
      </c>
      <c r="C47" s="43">
        <v>397</v>
      </c>
      <c r="D47" s="43"/>
      <c r="E47" s="337">
        <v>449</v>
      </c>
      <c r="F47" s="43">
        <v>379</v>
      </c>
      <c r="G47" s="43"/>
      <c r="H47" s="43">
        <v>405</v>
      </c>
      <c r="I47" s="337">
        <v>444</v>
      </c>
      <c r="J47" s="43"/>
      <c r="K47" s="43">
        <v>418</v>
      </c>
      <c r="L47" s="110">
        <f t="shared" si="2"/>
        <v>2492</v>
      </c>
      <c r="M47" s="116">
        <v>2</v>
      </c>
      <c r="N47" s="116">
        <v>6</v>
      </c>
      <c r="O47" s="116">
        <v>-72</v>
      </c>
      <c r="P47" s="116">
        <v>0</v>
      </c>
      <c r="Q47" s="126"/>
      <c r="R47" s="126"/>
      <c r="S47" s="126">
        <v>1</v>
      </c>
    </row>
    <row r="48" spans="3:19" ht="16.5" thickTop="1">
      <c r="C48" s="64">
        <f aca="true" t="shared" si="3" ref="C48:K48">SUM(C31:C47)</f>
        <v>3786</v>
      </c>
      <c r="D48" s="64">
        <f>SUM(D31:D35)+SUM(D37:D47)</f>
        <v>2924</v>
      </c>
      <c r="E48" s="64">
        <f t="shared" si="3"/>
        <v>5041</v>
      </c>
      <c r="F48" s="64">
        <f t="shared" si="3"/>
        <v>5374</v>
      </c>
      <c r="G48" s="64">
        <f t="shared" si="3"/>
        <v>4254</v>
      </c>
      <c r="H48" s="64">
        <f>SUM(H31:H35)+SUM(H37:H47)</f>
        <v>5420</v>
      </c>
      <c r="I48" s="64">
        <f t="shared" si="3"/>
        <v>5510</v>
      </c>
      <c r="J48" s="64">
        <f t="shared" si="3"/>
        <v>2709</v>
      </c>
      <c r="K48" s="64">
        <f t="shared" si="3"/>
        <v>5008</v>
      </c>
      <c r="M48" s="1">
        <f>SUM(M31:M47)</f>
        <v>62</v>
      </c>
      <c r="N48" s="1">
        <f>SUM(N31:N47)</f>
        <v>66</v>
      </c>
      <c r="O48" s="1">
        <f>SUM(O31:O47)</f>
        <v>255</v>
      </c>
      <c r="P48" s="1">
        <f>SUM(P31:P47)</f>
        <v>16</v>
      </c>
      <c r="Q48" s="1">
        <f>SUM(Q31:Q47)+Q23</f>
        <v>18</v>
      </c>
      <c r="R48" s="1">
        <f>SUM(R31:R47)+R23</f>
        <v>1</v>
      </c>
      <c r="S48" s="1">
        <f>SUM(S31:S47)+S23</f>
        <v>13</v>
      </c>
    </row>
    <row r="49" spans="2:11" ht="15.75">
      <c r="B49" s="67" t="s">
        <v>250</v>
      </c>
      <c r="C49" s="1">
        <f>COUNT(C31:C47)</f>
        <v>9</v>
      </c>
      <c r="D49" s="1">
        <f>COUNT(D31:D35)+COUNT(D37:D47)</f>
        <v>7</v>
      </c>
      <c r="E49" s="1">
        <f aca="true" t="shared" si="4" ref="E49:K49">COUNT(E31:E47)</f>
        <v>12</v>
      </c>
      <c r="F49" s="1">
        <f t="shared" si="4"/>
        <v>13</v>
      </c>
      <c r="G49" s="1">
        <f t="shared" si="4"/>
        <v>10</v>
      </c>
      <c r="H49" s="1">
        <f>COUNT(H31:H35)+COUNT(H37:H47)</f>
        <v>13</v>
      </c>
      <c r="I49" s="1">
        <f t="shared" si="4"/>
        <v>13</v>
      </c>
      <c r="J49" s="1">
        <f t="shared" si="4"/>
        <v>6</v>
      </c>
      <c r="K49" s="1">
        <f t="shared" si="4"/>
        <v>12</v>
      </c>
    </row>
    <row r="50" spans="2:19" ht="31.5">
      <c r="B50" s="11" t="s">
        <v>247</v>
      </c>
      <c r="C50" s="16">
        <f>C48/C49</f>
        <v>420.6666666666667</v>
      </c>
      <c r="D50" s="16">
        <f>D48/D49</f>
        <v>417.7142857142857</v>
      </c>
      <c r="E50" s="16">
        <f aca="true" t="shared" si="5" ref="E50:K50">E48/E49</f>
        <v>420.0833333333333</v>
      </c>
      <c r="F50" s="16">
        <f t="shared" si="5"/>
        <v>413.38461538461536</v>
      </c>
      <c r="G50" s="16">
        <f t="shared" si="5"/>
        <v>425.4</v>
      </c>
      <c r="H50" s="16">
        <f t="shared" si="5"/>
        <v>416.9230769230769</v>
      </c>
      <c r="I50" s="16">
        <f t="shared" si="5"/>
        <v>423.84615384615387</v>
      </c>
      <c r="J50" s="16">
        <f t="shared" si="5"/>
        <v>451.5</v>
      </c>
      <c r="K50" s="16">
        <f t="shared" si="5"/>
        <v>417.3333333333333</v>
      </c>
      <c r="L50" s="3" t="s">
        <v>30</v>
      </c>
      <c r="M50" s="3" t="s">
        <v>115</v>
      </c>
      <c r="N50" s="3"/>
      <c r="O50" s="3" t="s">
        <v>31</v>
      </c>
      <c r="P50" s="10" t="s">
        <v>116</v>
      </c>
      <c r="Q50"/>
      <c r="R50" s="74" t="s">
        <v>126</v>
      </c>
      <c r="S50" s="74" t="s">
        <v>223</v>
      </c>
    </row>
    <row r="51" spans="11:19" ht="15.75">
      <c r="K51" s="16"/>
      <c r="L51" s="6">
        <f>SUM(L31:L47)+L26</f>
        <v>80880</v>
      </c>
      <c r="M51" s="6">
        <f>SUM(M31:M47)+M26</f>
        <v>136</v>
      </c>
      <c r="N51" s="6">
        <f>SUM(N31:N47)+N26</f>
        <v>120</v>
      </c>
      <c r="O51" s="6">
        <f>SUM(O31:O47)+O26</f>
        <v>763</v>
      </c>
      <c r="P51" s="6">
        <f>SUM(P31:P47)+P26</f>
        <v>37</v>
      </c>
      <c r="Q51"/>
      <c r="R51" s="2">
        <f>M51-N51</f>
        <v>16</v>
      </c>
      <c r="S51" s="56">
        <f>SUM(Q48:S48)</f>
        <v>32</v>
      </c>
    </row>
    <row r="52" spans="17:18" ht="15.75">
      <c r="Q52"/>
      <c r="R52"/>
    </row>
    <row r="53" spans="14:15" ht="15.75">
      <c r="N53" s="1" t="s">
        <v>128</v>
      </c>
      <c r="O53" s="18">
        <f>L51/S51</f>
        <v>2527.5</v>
      </c>
    </row>
  </sheetData>
  <sheetProtection/>
  <mergeCells count="10">
    <mergeCell ref="J1:K1"/>
    <mergeCell ref="E1:F1"/>
    <mergeCell ref="J2:K2"/>
    <mergeCell ref="G1:H1"/>
    <mergeCell ref="O4:P4"/>
    <mergeCell ref="C27:D27"/>
    <mergeCell ref="M25:N25"/>
    <mergeCell ref="I27:J27"/>
    <mergeCell ref="F27:G27"/>
    <mergeCell ref="C4:M4"/>
  </mergeCells>
  <printOptions/>
  <pageMargins left="0.75" right="0.75" top="1" bottom="1" header="0.5" footer="0.5"/>
  <pageSetup blackAndWhite="1" horizontalDpi="600" verticalDpi="600" orientation="portrait" paperSize="9" r:id="rId1"/>
  <ignoredErrors>
    <ignoredError sqref="F25 D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53"/>
  <sheetViews>
    <sheetView zoomScale="90" zoomScaleNormal="90" zoomScalePageLayoutView="0" workbookViewId="0" topLeftCell="B28">
      <selection activeCell="D47" sqref="D47"/>
    </sheetView>
  </sheetViews>
  <sheetFormatPr defaultColWidth="9.00390625" defaultRowHeight="12.75"/>
  <cols>
    <col min="1" max="1" width="11.25390625" style="1" bestFit="1" customWidth="1"/>
    <col min="2" max="2" width="15.75390625" style="1" customWidth="1"/>
    <col min="3" max="3" width="10.375" style="1" customWidth="1"/>
    <col min="4" max="4" width="9.125" style="1" customWidth="1"/>
    <col min="5" max="5" width="9.625" style="1" customWidth="1"/>
    <col min="6" max="6" width="9.875" style="1" customWidth="1"/>
    <col min="7" max="7" width="10.00390625" style="1" customWidth="1"/>
    <col min="8" max="9" width="8.875" style="1" customWidth="1"/>
    <col min="10" max="10" width="11.875" style="1" customWidth="1"/>
    <col min="11" max="11" width="11.25390625" style="1" customWidth="1"/>
    <col min="12" max="12" width="10.75390625" style="1" customWidth="1"/>
    <col min="13" max="13" width="17.75390625" style="1" bestFit="1" customWidth="1"/>
    <col min="14" max="14" width="11.25390625" style="1" customWidth="1"/>
    <col min="15" max="15" width="10.375" style="1" customWidth="1"/>
    <col min="16" max="16" width="13.375" style="1" customWidth="1"/>
    <col min="17" max="17" width="12.25390625" style="1" customWidth="1"/>
    <col min="18" max="18" width="10.625" style="0" bestFit="1" customWidth="1"/>
    <col min="19" max="19" width="12.125" style="0" customWidth="1"/>
    <col min="20" max="20" width="10.25390625" style="0" customWidth="1"/>
  </cols>
  <sheetData>
    <row r="1" spans="1:14" ht="15.75">
      <c r="A1" s="58" t="s">
        <v>141</v>
      </c>
      <c r="B1" s="59"/>
      <c r="C1" s="59" t="s">
        <v>202</v>
      </c>
      <c r="D1" s="59" t="s">
        <v>139</v>
      </c>
      <c r="E1" s="372" t="s">
        <v>140</v>
      </c>
      <c r="F1" s="372"/>
      <c r="H1" s="368" t="s">
        <v>151</v>
      </c>
      <c r="I1" s="368"/>
      <c r="J1" s="11" t="s">
        <v>152</v>
      </c>
      <c r="K1" s="368" t="s">
        <v>126</v>
      </c>
      <c r="L1" s="368"/>
      <c r="M1" s="1" t="s">
        <v>128</v>
      </c>
      <c r="N1" s="18">
        <f>M26/S26</f>
        <v>2596.375</v>
      </c>
    </row>
    <row r="2" spans="8:14" ht="15.75">
      <c r="H2" s="1">
        <f>N26+N48</f>
        <v>166</v>
      </c>
      <c r="I2" s="1">
        <f>O26+O48</f>
        <v>90</v>
      </c>
      <c r="J2" s="1">
        <f>Q26+Q48</f>
        <v>50</v>
      </c>
      <c r="K2" s="374">
        <f>H2-I2</f>
        <v>76</v>
      </c>
      <c r="L2" s="374"/>
      <c r="M2" s="1" t="s">
        <v>234</v>
      </c>
      <c r="N2" s="6">
        <f>M7+M9+M11+M13+M15+M17+M20+M22</f>
        <v>20622</v>
      </c>
    </row>
    <row r="4" spans="3:20" ht="15.75">
      <c r="C4" s="371" t="s">
        <v>27</v>
      </c>
      <c r="D4" s="371"/>
      <c r="E4" s="371"/>
      <c r="F4" s="371"/>
      <c r="G4" s="371"/>
      <c r="H4" s="371"/>
      <c r="I4" s="371"/>
      <c r="J4" s="371"/>
      <c r="K4" s="371"/>
      <c r="L4" s="371"/>
      <c r="N4" s="371" t="s">
        <v>28</v>
      </c>
      <c r="O4" s="371"/>
      <c r="R4" s="2"/>
      <c r="S4" s="2"/>
      <c r="T4" s="2"/>
    </row>
    <row r="5" spans="2:20" ht="32.25" thickBot="1">
      <c r="B5" s="3" t="s">
        <v>25</v>
      </c>
      <c r="C5" s="8" t="s">
        <v>90</v>
      </c>
      <c r="D5" s="8" t="s">
        <v>91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97</v>
      </c>
      <c r="J5" s="8" t="s">
        <v>191</v>
      </c>
      <c r="K5" s="8" t="s">
        <v>192</v>
      </c>
      <c r="M5" s="3" t="s">
        <v>30</v>
      </c>
      <c r="N5" s="3" t="s">
        <v>18</v>
      </c>
      <c r="O5" s="3" t="s">
        <v>29</v>
      </c>
      <c r="P5" s="3" t="s">
        <v>31</v>
      </c>
      <c r="Q5" s="10" t="s">
        <v>114</v>
      </c>
      <c r="R5" s="2" t="s">
        <v>184</v>
      </c>
      <c r="S5" s="2" t="s">
        <v>185</v>
      </c>
      <c r="T5" s="2" t="s">
        <v>186</v>
      </c>
    </row>
    <row r="6" spans="1:20" s="104" customFormat="1" ht="15.75">
      <c r="A6" s="19" t="s">
        <v>0</v>
      </c>
      <c r="B6" s="19" t="s">
        <v>21</v>
      </c>
      <c r="C6" s="252">
        <v>442</v>
      </c>
      <c r="D6" s="244">
        <v>442</v>
      </c>
      <c r="E6" s="42"/>
      <c r="F6" s="244">
        <v>442</v>
      </c>
      <c r="G6" s="42">
        <v>427</v>
      </c>
      <c r="H6" s="42"/>
      <c r="I6" s="244">
        <v>441</v>
      </c>
      <c r="J6" s="42"/>
      <c r="K6" s="244">
        <v>474</v>
      </c>
      <c r="L6" s="35"/>
      <c r="M6" s="154">
        <f aca="true" t="shared" si="0" ref="M6:M18">SUM(C6:L6)</f>
        <v>2668</v>
      </c>
      <c r="N6" s="100">
        <v>7</v>
      </c>
      <c r="O6" s="100">
        <v>1</v>
      </c>
      <c r="P6" s="100">
        <v>240</v>
      </c>
      <c r="Q6" s="100">
        <v>2</v>
      </c>
      <c r="R6" s="103">
        <v>1</v>
      </c>
      <c r="S6" s="103"/>
      <c r="T6" s="103"/>
    </row>
    <row r="7" spans="1:20" s="30" customFormat="1" ht="15.75">
      <c r="A7" s="26" t="s">
        <v>1</v>
      </c>
      <c r="B7" s="57" t="s">
        <v>26</v>
      </c>
      <c r="C7" s="256">
        <v>466</v>
      </c>
      <c r="D7" s="255">
        <v>435</v>
      </c>
      <c r="E7" s="118"/>
      <c r="F7" s="118">
        <v>424</v>
      </c>
      <c r="G7" s="255">
        <v>443</v>
      </c>
      <c r="H7" s="118"/>
      <c r="I7" s="255">
        <v>441</v>
      </c>
      <c r="J7" s="118"/>
      <c r="K7" s="118">
        <v>379</v>
      </c>
      <c r="L7" s="197"/>
      <c r="M7" s="28">
        <f t="shared" si="0"/>
        <v>2588</v>
      </c>
      <c r="N7" s="26">
        <v>4</v>
      </c>
      <c r="O7" s="26">
        <v>4</v>
      </c>
      <c r="P7" s="28">
        <v>-5</v>
      </c>
      <c r="Q7" s="26">
        <v>1</v>
      </c>
      <c r="R7" s="29"/>
      <c r="S7" s="29">
        <v>1</v>
      </c>
      <c r="T7" s="29"/>
    </row>
    <row r="8" spans="1:20" s="104" customFormat="1" ht="15.75">
      <c r="A8" s="145" t="s">
        <v>2</v>
      </c>
      <c r="B8" s="153" t="s">
        <v>208</v>
      </c>
      <c r="C8" s="252">
        <v>464</v>
      </c>
      <c r="D8" s="244">
        <v>518</v>
      </c>
      <c r="E8" s="42"/>
      <c r="F8" s="42">
        <v>413</v>
      </c>
      <c r="G8" s="42">
        <v>403</v>
      </c>
      <c r="H8" s="42">
        <v>373</v>
      </c>
      <c r="I8" s="42"/>
      <c r="J8" s="42"/>
      <c r="K8" s="244">
        <v>423</v>
      </c>
      <c r="L8" s="35"/>
      <c r="M8" s="154">
        <f t="shared" si="0"/>
        <v>2594</v>
      </c>
      <c r="N8" s="100">
        <v>5</v>
      </c>
      <c r="O8" s="100">
        <v>3</v>
      </c>
      <c r="P8" s="154">
        <f>2594-2548</f>
        <v>46</v>
      </c>
      <c r="Q8" s="100">
        <v>2</v>
      </c>
      <c r="R8" s="103">
        <v>1</v>
      </c>
      <c r="S8" s="103"/>
      <c r="T8" s="103"/>
    </row>
    <row r="9" spans="1:20" s="30" customFormat="1" ht="15.75">
      <c r="A9" s="26" t="s">
        <v>3</v>
      </c>
      <c r="B9" s="57" t="s">
        <v>206</v>
      </c>
      <c r="C9" s="256">
        <v>439</v>
      </c>
      <c r="D9" s="118"/>
      <c r="E9" s="118"/>
      <c r="F9" s="255">
        <v>419</v>
      </c>
      <c r="G9" s="255">
        <v>477</v>
      </c>
      <c r="H9" s="118">
        <v>382</v>
      </c>
      <c r="I9" s="118">
        <v>398</v>
      </c>
      <c r="J9" s="118"/>
      <c r="K9" s="118">
        <v>404</v>
      </c>
      <c r="L9" s="197"/>
      <c r="M9" s="28">
        <f t="shared" si="0"/>
        <v>2519</v>
      </c>
      <c r="N9" s="26">
        <v>3</v>
      </c>
      <c r="O9" s="26">
        <v>5</v>
      </c>
      <c r="P9" s="28">
        <v>-23</v>
      </c>
      <c r="Q9" s="26">
        <v>0</v>
      </c>
      <c r="R9" s="29"/>
      <c r="S9" s="29"/>
      <c r="T9" s="29">
        <v>1</v>
      </c>
    </row>
    <row r="10" spans="1:20" s="104" customFormat="1" ht="15.75">
      <c r="A10" s="145" t="s">
        <v>4</v>
      </c>
      <c r="B10" s="153" t="s">
        <v>20</v>
      </c>
      <c r="C10" s="252">
        <v>441</v>
      </c>
      <c r="D10" s="244">
        <v>487</v>
      </c>
      <c r="E10" s="42"/>
      <c r="F10" s="244">
        <v>456</v>
      </c>
      <c r="G10" s="42">
        <v>427</v>
      </c>
      <c r="H10" s="42"/>
      <c r="I10" s="244">
        <v>447</v>
      </c>
      <c r="J10" s="42"/>
      <c r="K10" s="42">
        <v>423</v>
      </c>
      <c r="L10" s="35"/>
      <c r="M10" s="154">
        <f t="shared" si="0"/>
        <v>2681</v>
      </c>
      <c r="N10" s="100">
        <v>6</v>
      </c>
      <c r="O10" s="100">
        <v>2</v>
      </c>
      <c r="P10" s="154">
        <f>M10-2491</f>
        <v>190</v>
      </c>
      <c r="Q10" s="100">
        <v>2</v>
      </c>
      <c r="R10" s="103">
        <v>1</v>
      </c>
      <c r="S10" s="103"/>
      <c r="T10" s="103"/>
    </row>
    <row r="11" spans="1:20" s="30" customFormat="1" ht="15.75">
      <c r="A11" s="26" t="s">
        <v>5</v>
      </c>
      <c r="B11" s="57" t="s">
        <v>22</v>
      </c>
      <c r="C11" s="256">
        <v>456</v>
      </c>
      <c r="D11" s="255">
        <v>477</v>
      </c>
      <c r="E11" s="118"/>
      <c r="F11" s="118">
        <v>407</v>
      </c>
      <c r="G11" s="255">
        <v>448</v>
      </c>
      <c r="H11" s="118"/>
      <c r="I11" s="255">
        <v>453</v>
      </c>
      <c r="J11" s="118"/>
      <c r="K11" s="255">
        <v>420</v>
      </c>
      <c r="L11" s="197"/>
      <c r="M11" s="28">
        <f t="shared" si="0"/>
        <v>2661</v>
      </c>
      <c r="N11" s="26">
        <v>7</v>
      </c>
      <c r="O11" s="26">
        <v>1</v>
      </c>
      <c r="P11" s="28">
        <f>M11-2421</f>
        <v>240</v>
      </c>
      <c r="Q11" s="26">
        <v>2</v>
      </c>
      <c r="R11" s="29">
        <v>1</v>
      </c>
      <c r="S11" s="29"/>
      <c r="T11" s="29"/>
    </row>
    <row r="12" spans="1:20" s="104" customFormat="1" ht="15.75">
      <c r="A12" s="145" t="s">
        <v>6</v>
      </c>
      <c r="B12" s="153" t="s">
        <v>196</v>
      </c>
      <c r="C12" s="19">
        <v>406</v>
      </c>
      <c r="D12" s="244">
        <v>489</v>
      </c>
      <c r="E12" s="42">
        <v>172</v>
      </c>
      <c r="F12" s="42">
        <v>195</v>
      </c>
      <c r="G12" s="244">
        <v>455</v>
      </c>
      <c r="H12" s="42"/>
      <c r="I12" s="244">
        <v>454</v>
      </c>
      <c r="J12" s="42"/>
      <c r="K12" s="244">
        <v>436</v>
      </c>
      <c r="L12" s="35"/>
      <c r="M12" s="154">
        <f t="shared" si="0"/>
        <v>2607</v>
      </c>
      <c r="N12" s="100">
        <v>6</v>
      </c>
      <c r="O12" s="100">
        <v>2</v>
      </c>
      <c r="P12" s="154">
        <v>186</v>
      </c>
      <c r="Q12" s="100">
        <v>2</v>
      </c>
      <c r="R12" s="103">
        <v>1</v>
      </c>
      <c r="S12" s="103"/>
      <c r="T12" s="103"/>
    </row>
    <row r="13" spans="1:20" s="30" customFormat="1" ht="15.75">
      <c r="A13" s="26" t="s">
        <v>7</v>
      </c>
      <c r="B13" s="57" t="s">
        <v>19</v>
      </c>
      <c r="C13" s="256">
        <v>455</v>
      </c>
      <c r="D13" s="255">
        <v>458</v>
      </c>
      <c r="E13" s="118"/>
      <c r="F13" s="118">
        <v>417</v>
      </c>
      <c r="G13" s="255">
        <v>446</v>
      </c>
      <c r="H13" s="118"/>
      <c r="I13" s="255">
        <v>438</v>
      </c>
      <c r="J13" s="118"/>
      <c r="K13" s="118">
        <v>376</v>
      </c>
      <c r="L13" s="197"/>
      <c r="M13" s="28">
        <f t="shared" si="0"/>
        <v>2590</v>
      </c>
      <c r="N13" s="26">
        <v>6</v>
      </c>
      <c r="O13" s="26">
        <v>2</v>
      </c>
      <c r="P13" s="28">
        <v>10</v>
      </c>
      <c r="Q13" s="26">
        <v>2</v>
      </c>
      <c r="R13" s="29">
        <v>1</v>
      </c>
      <c r="S13" s="29"/>
      <c r="T13" s="29"/>
    </row>
    <row r="14" spans="1:20" s="104" customFormat="1" ht="15.75">
      <c r="A14" s="145" t="s">
        <v>8</v>
      </c>
      <c r="B14" s="153" t="s">
        <v>24</v>
      </c>
      <c r="C14" s="244">
        <v>450</v>
      </c>
      <c r="D14" s="244">
        <v>469</v>
      </c>
      <c r="E14" s="42"/>
      <c r="F14" s="244">
        <v>436</v>
      </c>
      <c r="G14" s="42">
        <v>417</v>
      </c>
      <c r="H14" s="42"/>
      <c r="I14" s="42">
        <v>408</v>
      </c>
      <c r="J14" s="42"/>
      <c r="K14" s="42">
        <v>402</v>
      </c>
      <c r="L14" s="35"/>
      <c r="M14" s="154">
        <f t="shared" si="0"/>
        <v>2582</v>
      </c>
      <c r="N14" s="100">
        <v>3</v>
      </c>
      <c r="O14" s="100">
        <v>5</v>
      </c>
      <c r="P14" s="154">
        <v>-7</v>
      </c>
      <c r="Q14" s="100">
        <v>0</v>
      </c>
      <c r="R14" s="103"/>
      <c r="S14" s="103"/>
      <c r="T14" s="103">
        <v>1</v>
      </c>
    </row>
    <row r="15" spans="1:20" s="30" customFormat="1" ht="15.75">
      <c r="A15" s="26" t="s">
        <v>9</v>
      </c>
      <c r="B15" s="57" t="s">
        <v>17</v>
      </c>
      <c r="C15" s="256">
        <v>451</v>
      </c>
      <c r="D15" s="255">
        <v>459</v>
      </c>
      <c r="E15" s="118"/>
      <c r="F15" s="118">
        <v>413</v>
      </c>
      <c r="G15" s="118">
        <v>412</v>
      </c>
      <c r="H15" s="118"/>
      <c r="I15" s="118">
        <v>388</v>
      </c>
      <c r="J15" s="118"/>
      <c r="K15" s="255">
        <v>427</v>
      </c>
      <c r="L15" s="197"/>
      <c r="M15" s="28">
        <f t="shared" si="0"/>
        <v>2550</v>
      </c>
      <c r="N15" s="26">
        <v>5</v>
      </c>
      <c r="O15" s="26">
        <v>3</v>
      </c>
      <c r="P15" s="26">
        <v>28</v>
      </c>
      <c r="Q15" s="26">
        <v>2</v>
      </c>
      <c r="R15" s="29">
        <v>1</v>
      </c>
      <c r="S15" s="29"/>
      <c r="T15" s="29"/>
    </row>
    <row r="16" spans="1:20" s="104" customFormat="1" ht="15.75">
      <c r="A16" s="145" t="s">
        <v>10</v>
      </c>
      <c r="B16" s="153" t="s">
        <v>15</v>
      </c>
      <c r="C16" s="270">
        <v>430</v>
      </c>
      <c r="D16" s="244">
        <v>460</v>
      </c>
      <c r="E16" s="42"/>
      <c r="F16" s="44">
        <v>417</v>
      </c>
      <c r="G16" s="249">
        <v>446</v>
      </c>
      <c r="H16" s="44"/>
      <c r="I16" s="44">
        <v>417</v>
      </c>
      <c r="J16" s="44"/>
      <c r="K16" s="249">
        <v>438</v>
      </c>
      <c r="L16" s="35"/>
      <c r="M16" s="154">
        <f t="shared" si="0"/>
        <v>2608</v>
      </c>
      <c r="N16" s="100">
        <v>6</v>
      </c>
      <c r="O16" s="100">
        <v>2</v>
      </c>
      <c r="P16" s="100">
        <v>151</v>
      </c>
      <c r="Q16" s="100">
        <v>2</v>
      </c>
      <c r="R16" s="103">
        <v>1</v>
      </c>
      <c r="S16" s="103"/>
      <c r="T16" s="103"/>
    </row>
    <row r="17" spans="1:20" s="30" customFormat="1" ht="15.75">
      <c r="A17" s="26" t="s">
        <v>11</v>
      </c>
      <c r="B17" s="57" t="s">
        <v>263</v>
      </c>
      <c r="C17" s="243">
        <v>447</v>
      </c>
      <c r="D17" s="255">
        <v>459</v>
      </c>
      <c r="E17" s="118"/>
      <c r="F17" s="255">
        <v>435</v>
      </c>
      <c r="G17" s="255">
        <v>452</v>
      </c>
      <c r="H17" s="118"/>
      <c r="I17" s="118">
        <v>374</v>
      </c>
      <c r="J17" s="118"/>
      <c r="K17" s="118">
        <v>417</v>
      </c>
      <c r="L17" s="197"/>
      <c r="M17" s="28">
        <f t="shared" si="0"/>
        <v>2584</v>
      </c>
      <c r="N17" s="26">
        <v>6</v>
      </c>
      <c r="O17" s="26">
        <v>2</v>
      </c>
      <c r="P17" s="28">
        <v>7</v>
      </c>
      <c r="Q17" s="26">
        <v>2</v>
      </c>
      <c r="R17" s="29">
        <v>1</v>
      </c>
      <c r="S17" s="29"/>
      <c r="T17" s="29"/>
    </row>
    <row r="18" spans="1:20" s="104" customFormat="1" ht="15.75">
      <c r="A18" s="145" t="s">
        <v>12</v>
      </c>
      <c r="B18" s="153" t="s">
        <v>23</v>
      </c>
      <c r="C18" s="244">
        <v>444</v>
      </c>
      <c r="D18" s="244">
        <v>470</v>
      </c>
      <c r="E18" s="42"/>
      <c r="F18" s="42">
        <v>416</v>
      </c>
      <c r="G18" s="244">
        <v>432</v>
      </c>
      <c r="H18" s="42"/>
      <c r="I18" s="42">
        <v>401</v>
      </c>
      <c r="J18" s="42"/>
      <c r="K18" s="42">
        <v>425</v>
      </c>
      <c r="L18" s="35"/>
      <c r="M18" s="154">
        <f t="shared" si="0"/>
        <v>2588</v>
      </c>
      <c r="N18" s="100">
        <v>5</v>
      </c>
      <c r="O18" s="100">
        <v>3</v>
      </c>
      <c r="P18" s="154">
        <v>2</v>
      </c>
      <c r="Q18" s="100">
        <v>2</v>
      </c>
      <c r="R18" s="103">
        <v>1</v>
      </c>
      <c r="S18" s="103"/>
      <c r="T18" s="103"/>
    </row>
    <row r="19" spans="1:20" s="30" customFormat="1" ht="15.75">
      <c r="A19" s="26" t="s">
        <v>13</v>
      </c>
      <c r="B19" s="57" t="s">
        <v>255</v>
      </c>
      <c r="C19" s="191"/>
      <c r="D19" s="205"/>
      <c r="E19" s="205"/>
      <c r="F19" s="205"/>
      <c r="G19" s="205"/>
      <c r="H19" s="205"/>
      <c r="I19" s="205"/>
      <c r="J19" s="205"/>
      <c r="K19" s="205"/>
      <c r="L19" s="206"/>
      <c r="M19" s="28" t="s">
        <v>255</v>
      </c>
      <c r="N19" s="172"/>
      <c r="O19" s="172"/>
      <c r="P19" s="173"/>
      <c r="Q19" s="172"/>
      <c r="R19" s="174"/>
      <c r="S19" s="174"/>
      <c r="T19" s="174"/>
    </row>
    <row r="20" spans="1:20" s="114" customFormat="1" ht="15.75">
      <c r="A20" s="110" t="s">
        <v>14</v>
      </c>
      <c r="B20" s="123" t="s">
        <v>209</v>
      </c>
      <c r="C20" s="277">
        <v>424</v>
      </c>
      <c r="D20" s="243">
        <v>449</v>
      </c>
      <c r="E20" s="43"/>
      <c r="F20" s="243">
        <v>418</v>
      </c>
      <c r="G20" s="243">
        <v>415</v>
      </c>
      <c r="H20" s="43"/>
      <c r="I20" s="43">
        <v>384</v>
      </c>
      <c r="J20" s="43"/>
      <c r="K20" s="43">
        <v>391</v>
      </c>
      <c r="L20" s="39"/>
      <c r="M20" s="109">
        <f>SUM(C20:L20)</f>
        <v>2481</v>
      </c>
      <c r="N20" s="110">
        <v>6</v>
      </c>
      <c r="O20" s="110">
        <v>2</v>
      </c>
      <c r="P20" s="109">
        <v>167</v>
      </c>
      <c r="Q20" s="110">
        <v>2</v>
      </c>
      <c r="R20" s="113">
        <v>1</v>
      </c>
      <c r="S20" s="113"/>
      <c r="T20" s="113"/>
    </row>
    <row r="21" spans="1:20" s="23" customFormat="1" ht="15.75">
      <c r="A21" s="145" t="s">
        <v>261</v>
      </c>
      <c r="B21" s="145" t="s">
        <v>16</v>
      </c>
      <c r="C21" s="282">
        <v>441</v>
      </c>
      <c r="D21" s="257">
        <v>467</v>
      </c>
      <c r="E21" s="146"/>
      <c r="F21" s="146">
        <v>419</v>
      </c>
      <c r="G21" s="257">
        <v>424</v>
      </c>
      <c r="H21" s="146"/>
      <c r="I21" s="146">
        <v>398</v>
      </c>
      <c r="J21" s="146"/>
      <c r="K21" s="257">
        <v>443</v>
      </c>
      <c r="L21" s="165"/>
      <c r="M21" s="21">
        <f>SUM(C21:L21)</f>
        <v>2592</v>
      </c>
      <c r="N21" s="19">
        <v>6</v>
      </c>
      <c r="O21" s="19">
        <v>2</v>
      </c>
      <c r="P21" s="21">
        <v>82</v>
      </c>
      <c r="Q21" s="19">
        <v>2</v>
      </c>
      <c r="R21" s="22">
        <v>1</v>
      </c>
      <c r="S21" s="22"/>
      <c r="T21" s="22"/>
    </row>
    <row r="22" spans="1:20" s="30" customFormat="1" ht="16.5" thickBot="1">
      <c r="A22" s="26" t="s">
        <v>262</v>
      </c>
      <c r="B22" s="57" t="s">
        <v>205</v>
      </c>
      <c r="C22" s="316">
        <v>470</v>
      </c>
      <c r="D22" s="283">
        <v>482</v>
      </c>
      <c r="E22" s="119"/>
      <c r="F22" s="283">
        <v>461</v>
      </c>
      <c r="G22" s="283">
        <v>430</v>
      </c>
      <c r="H22" s="119"/>
      <c r="I22" s="119">
        <v>396</v>
      </c>
      <c r="J22" s="119"/>
      <c r="K22" s="119">
        <v>410</v>
      </c>
      <c r="L22" s="198"/>
      <c r="M22" s="41">
        <f>SUM(C22:L22)</f>
        <v>2649</v>
      </c>
      <c r="N22" s="38">
        <v>6</v>
      </c>
      <c r="O22" s="38">
        <v>2</v>
      </c>
      <c r="P22" s="41">
        <v>251</v>
      </c>
      <c r="Q22" s="38">
        <v>2</v>
      </c>
      <c r="R22" s="82">
        <v>1</v>
      </c>
      <c r="S22" s="82"/>
      <c r="T22" s="82"/>
    </row>
    <row r="23" spans="3:20" ht="16.5" thickTop="1">
      <c r="C23" s="6">
        <f aca="true" t="shared" si="1" ref="C23:K23">SUM(C6:C22)</f>
        <v>7126</v>
      </c>
      <c r="D23" s="6">
        <f t="shared" si="1"/>
        <v>7021</v>
      </c>
      <c r="E23" s="6">
        <f>SUM(E13:E22)</f>
        <v>0</v>
      </c>
      <c r="F23" s="6">
        <f>SUM(F6:F11)+SUM(F13:F22)</f>
        <v>6393</v>
      </c>
      <c r="G23" s="6">
        <f>SUM(G6:G22)</f>
        <v>6954</v>
      </c>
      <c r="H23" s="6">
        <f>SUM(H7:H9)+SUM(H12:H22)</f>
        <v>755</v>
      </c>
      <c r="I23" s="6">
        <f t="shared" si="1"/>
        <v>6238</v>
      </c>
      <c r="J23" s="6">
        <f t="shared" si="1"/>
        <v>0</v>
      </c>
      <c r="K23" s="6">
        <f t="shared" si="1"/>
        <v>6688</v>
      </c>
      <c r="L23" s="6"/>
      <c r="R23" s="56">
        <f>SUM(R6:R22)</f>
        <v>13</v>
      </c>
      <c r="S23" s="56">
        <f>SUM(S6:S22)</f>
        <v>1</v>
      </c>
      <c r="T23" s="56">
        <f>SUM(T6:T22)</f>
        <v>2</v>
      </c>
    </row>
    <row r="24" spans="2:12" ht="15.75">
      <c r="B24" s="1" t="s">
        <v>225</v>
      </c>
      <c r="C24" s="6">
        <f>COUNT(C6:C22)</f>
        <v>16</v>
      </c>
      <c r="D24" s="6">
        <f>COUNT(D6:D22)</f>
        <v>15</v>
      </c>
      <c r="E24" s="6">
        <f>COUNT(E13:E22)</f>
        <v>0</v>
      </c>
      <c r="F24" s="6">
        <f>COUNT(F6:F11)+COUNT(F13:F22)</f>
        <v>15</v>
      </c>
      <c r="G24" s="6">
        <f>COUNT(G6:G22)</f>
        <v>16</v>
      </c>
      <c r="H24" s="6">
        <f>COUNT(H7:H9)+COUNT(H12:H22)</f>
        <v>2</v>
      </c>
      <c r="I24" s="6">
        <f>COUNT(I6:I22)</f>
        <v>15</v>
      </c>
      <c r="J24" s="6">
        <f>COUNT(J6:J22)</f>
        <v>0</v>
      </c>
      <c r="K24" s="6">
        <f>COUNT(K6:K22)</f>
        <v>16</v>
      </c>
      <c r="L24" s="6"/>
    </row>
    <row r="25" spans="2:19" ht="35.25" customHeight="1">
      <c r="B25" s="11" t="s">
        <v>127</v>
      </c>
      <c r="C25" s="16">
        <f>AVERAGE(C6:C22)</f>
        <v>445.375</v>
      </c>
      <c r="D25" s="16">
        <f>AVERAGE(D6:D22)</f>
        <v>468.06666666666666</v>
      </c>
      <c r="E25" s="16"/>
      <c r="F25" s="16">
        <f>F23/F24</f>
        <v>426.2</v>
      </c>
      <c r="G25" s="16">
        <f>AVERAGE(G6:G22)</f>
        <v>434.625</v>
      </c>
      <c r="H25" s="16">
        <f>H23/H24</f>
        <v>377.5</v>
      </c>
      <c r="I25" s="16">
        <f>AVERAGE(I6:I22)</f>
        <v>415.8666666666667</v>
      </c>
      <c r="J25" s="16"/>
      <c r="K25" s="16">
        <f>AVERAGE(K6:K22)</f>
        <v>418</v>
      </c>
      <c r="L25" s="16"/>
      <c r="M25" s="3" t="s">
        <v>30</v>
      </c>
      <c r="N25" s="371" t="s">
        <v>115</v>
      </c>
      <c r="O25" s="371"/>
      <c r="P25" s="3" t="s">
        <v>31</v>
      </c>
      <c r="Q25" s="10" t="s">
        <v>116</v>
      </c>
      <c r="R25" s="74" t="s">
        <v>126</v>
      </c>
      <c r="S25" s="74" t="s">
        <v>223</v>
      </c>
    </row>
    <row r="26" spans="13:19" ht="15.75">
      <c r="M26" s="6">
        <f>SUM(M6:M22)</f>
        <v>41542</v>
      </c>
      <c r="N26" s="1">
        <f>SUM(N6:N22)</f>
        <v>87</v>
      </c>
      <c r="O26" s="1">
        <f>SUM(O6:O22)</f>
        <v>41</v>
      </c>
      <c r="P26" s="1">
        <f>SUM(P6:P22)</f>
        <v>1565</v>
      </c>
      <c r="Q26" s="1">
        <f>SUM(Q6:Q22)</f>
        <v>27</v>
      </c>
      <c r="R26" s="2">
        <f>N26-O26</f>
        <v>46</v>
      </c>
      <c r="S26" s="56">
        <f>SUM(R23:T23)</f>
        <v>16</v>
      </c>
    </row>
    <row r="27" spans="3:10" ht="15.75">
      <c r="C27" s="377" t="s">
        <v>39</v>
      </c>
      <c r="D27" s="377"/>
      <c r="F27" s="375" t="s">
        <v>132</v>
      </c>
      <c r="G27" s="375"/>
      <c r="I27" s="376" t="s">
        <v>133</v>
      </c>
      <c r="J27" s="376"/>
    </row>
    <row r="28" spans="1:20" ht="16.5" thickBot="1">
      <c r="A28" s="73"/>
      <c r="B28" s="73"/>
      <c r="C28" s="73"/>
      <c r="D28" s="73"/>
      <c r="E28" s="73"/>
      <c r="F28" s="230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26"/>
      <c r="S28" s="226"/>
      <c r="T28" s="226"/>
    </row>
    <row r="30" spans="2:20" ht="32.25" thickBot="1">
      <c r="B30" s="3" t="s">
        <v>25</v>
      </c>
      <c r="C30" s="8" t="s">
        <v>90</v>
      </c>
      <c r="D30" s="8" t="s">
        <v>91</v>
      </c>
      <c r="E30" s="8" t="s">
        <v>92</v>
      </c>
      <c r="F30" s="8" t="s">
        <v>93</v>
      </c>
      <c r="G30" s="8" t="s">
        <v>94</v>
      </c>
      <c r="H30" s="8" t="s">
        <v>95</v>
      </c>
      <c r="I30" s="8" t="s">
        <v>97</v>
      </c>
      <c r="J30" s="8" t="s">
        <v>191</v>
      </c>
      <c r="K30" s="8" t="s">
        <v>192</v>
      </c>
      <c r="M30" s="3" t="s">
        <v>30</v>
      </c>
      <c r="N30" s="3" t="s">
        <v>18</v>
      </c>
      <c r="O30" s="3" t="s">
        <v>29</v>
      </c>
      <c r="P30" s="3" t="s">
        <v>31</v>
      </c>
      <c r="Q30" s="10" t="s">
        <v>114</v>
      </c>
      <c r="R30" s="2" t="s">
        <v>184</v>
      </c>
      <c r="S30" s="2" t="s">
        <v>185</v>
      </c>
      <c r="T30" s="2" t="s">
        <v>186</v>
      </c>
    </row>
    <row r="31" spans="1:20" s="30" customFormat="1" ht="15.75">
      <c r="A31" s="110" t="s">
        <v>153</v>
      </c>
      <c r="B31" s="123" t="s">
        <v>24</v>
      </c>
      <c r="C31" s="255">
        <v>435</v>
      </c>
      <c r="D31" s="255">
        <v>458</v>
      </c>
      <c r="E31" s="118"/>
      <c r="F31" s="118">
        <v>417</v>
      </c>
      <c r="G31" s="118">
        <v>425</v>
      </c>
      <c r="H31" s="118"/>
      <c r="I31" s="118">
        <v>377</v>
      </c>
      <c r="J31" s="118"/>
      <c r="K31" s="118">
        <v>428</v>
      </c>
      <c r="L31" s="118"/>
      <c r="M31" s="234">
        <f>SUM(C31:L31)</f>
        <v>2540</v>
      </c>
      <c r="N31" s="26">
        <v>2</v>
      </c>
      <c r="O31" s="26">
        <v>6</v>
      </c>
      <c r="P31" s="26">
        <f>M31-2612</f>
        <v>-72</v>
      </c>
      <c r="Q31" s="26">
        <v>0</v>
      </c>
      <c r="T31" s="30">
        <v>1</v>
      </c>
    </row>
    <row r="32" spans="1:18" s="23" customFormat="1" ht="15.75">
      <c r="A32" s="145" t="s">
        <v>154</v>
      </c>
      <c r="B32" s="153" t="s">
        <v>17</v>
      </c>
      <c r="C32" s="257">
        <v>460</v>
      </c>
      <c r="D32" s="257">
        <v>451</v>
      </c>
      <c r="E32" s="146"/>
      <c r="F32" s="146">
        <v>392</v>
      </c>
      <c r="G32" s="146">
        <v>391</v>
      </c>
      <c r="H32" s="146"/>
      <c r="I32" s="257">
        <v>417</v>
      </c>
      <c r="J32" s="146"/>
      <c r="K32" s="257">
        <v>426</v>
      </c>
      <c r="L32" s="146"/>
      <c r="M32" s="69">
        <f aca="true" t="shared" si="2" ref="M32:M47">SUM(C32:L32)</f>
        <v>2537</v>
      </c>
      <c r="N32" s="19">
        <v>6</v>
      </c>
      <c r="O32" s="19">
        <v>2</v>
      </c>
      <c r="P32" s="19">
        <v>86</v>
      </c>
      <c r="Q32" s="19">
        <v>2</v>
      </c>
      <c r="R32" s="23">
        <v>1</v>
      </c>
    </row>
    <row r="33" spans="1:18" s="30" customFormat="1" ht="15.75">
      <c r="A33" s="110" t="s">
        <v>155</v>
      </c>
      <c r="B33" s="123" t="s">
        <v>15</v>
      </c>
      <c r="C33" s="118">
        <v>419</v>
      </c>
      <c r="D33" s="255">
        <v>425</v>
      </c>
      <c r="E33" s="118"/>
      <c r="F33" s="255">
        <v>439</v>
      </c>
      <c r="G33" s="255">
        <v>444</v>
      </c>
      <c r="H33" s="255">
        <v>422</v>
      </c>
      <c r="I33" s="118"/>
      <c r="J33" s="118"/>
      <c r="K33" s="255">
        <v>429</v>
      </c>
      <c r="L33" s="118"/>
      <c r="M33" s="234">
        <f t="shared" si="2"/>
        <v>2578</v>
      </c>
      <c r="N33" s="26">
        <v>7</v>
      </c>
      <c r="O33" s="26">
        <v>1</v>
      </c>
      <c r="P33" s="26">
        <f>M33-2526</f>
        <v>52</v>
      </c>
      <c r="Q33" s="26">
        <v>2</v>
      </c>
      <c r="R33" s="30">
        <v>1</v>
      </c>
    </row>
    <row r="34" spans="1:18" s="104" customFormat="1" ht="15.75">
      <c r="A34" s="19" t="s">
        <v>156</v>
      </c>
      <c r="B34" s="137" t="s">
        <v>263</v>
      </c>
      <c r="C34" s="244">
        <v>439</v>
      </c>
      <c r="D34" s="244">
        <v>486</v>
      </c>
      <c r="E34" s="42"/>
      <c r="F34" s="244">
        <v>429</v>
      </c>
      <c r="G34" s="244">
        <v>430</v>
      </c>
      <c r="H34" s="42"/>
      <c r="I34" s="244">
        <v>428</v>
      </c>
      <c r="J34" s="42"/>
      <c r="K34" s="42">
        <v>404</v>
      </c>
      <c r="L34" s="42"/>
      <c r="M34" s="102">
        <f t="shared" si="2"/>
        <v>2616</v>
      </c>
      <c r="N34" s="100">
        <v>7</v>
      </c>
      <c r="O34" s="100">
        <v>1</v>
      </c>
      <c r="P34" s="100">
        <f>M34-2523</f>
        <v>93</v>
      </c>
      <c r="Q34" s="100">
        <v>2</v>
      </c>
      <c r="R34" s="104">
        <v>1</v>
      </c>
    </row>
    <row r="35" spans="1:18" s="30" customFormat="1" ht="15.75">
      <c r="A35" s="110" t="s">
        <v>157</v>
      </c>
      <c r="B35" s="123" t="s">
        <v>23</v>
      </c>
      <c r="C35" s="255">
        <v>439</v>
      </c>
      <c r="D35" s="255">
        <v>459</v>
      </c>
      <c r="E35" s="118"/>
      <c r="F35" s="118">
        <v>392</v>
      </c>
      <c r="G35" s="255">
        <v>428</v>
      </c>
      <c r="H35" s="118"/>
      <c r="I35" s="118">
        <v>403</v>
      </c>
      <c r="J35" s="118"/>
      <c r="K35" s="118">
        <v>382</v>
      </c>
      <c r="L35" s="118"/>
      <c r="M35" s="234">
        <f t="shared" si="2"/>
        <v>2503</v>
      </c>
      <c r="N35" s="26">
        <v>5</v>
      </c>
      <c r="O35" s="26">
        <v>3</v>
      </c>
      <c r="P35" s="26">
        <f>M35-2489</f>
        <v>14</v>
      </c>
      <c r="Q35" s="26">
        <v>2</v>
      </c>
      <c r="R35" s="30">
        <v>1</v>
      </c>
    </row>
    <row r="36" spans="1:17" s="299" customFormat="1" ht="15.75">
      <c r="A36" s="293" t="s">
        <v>158</v>
      </c>
      <c r="B36" s="294" t="s">
        <v>255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297">
        <f t="shared" si="2"/>
        <v>0</v>
      </c>
      <c r="N36" s="293"/>
      <c r="O36" s="293"/>
      <c r="P36" s="293"/>
      <c r="Q36" s="293"/>
    </row>
    <row r="37" spans="1:19" s="104" customFormat="1" ht="15.75">
      <c r="A37" s="19" t="s">
        <v>159</v>
      </c>
      <c r="B37" s="137" t="s">
        <v>209</v>
      </c>
      <c r="C37" s="244">
        <v>411</v>
      </c>
      <c r="D37" s="244">
        <v>467</v>
      </c>
      <c r="E37" s="42">
        <v>148</v>
      </c>
      <c r="F37" s="42">
        <v>391</v>
      </c>
      <c r="G37" s="244">
        <v>433</v>
      </c>
      <c r="H37" s="42">
        <v>177</v>
      </c>
      <c r="I37" s="42"/>
      <c r="J37" s="42"/>
      <c r="K37" s="244">
        <v>414</v>
      </c>
      <c r="L37" s="42"/>
      <c r="M37" s="102">
        <f t="shared" si="2"/>
        <v>2441</v>
      </c>
      <c r="N37" s="100">
        <v>4</v>
      </c>
      <c r="O37" s="100">
        <v>4</v>
      </c>
      <c r="P37" s="100">
        <v>-38</v>
      </c>
      <c r="Q37" s="100">
        <v>1</v>
      </c>
      <c r="S37" s="104">
        <v>1</v>
      </c>
    </row>
    <row r="38" spans="1:20" s="114" customFormat="1" ht="15.75">
      <c r="A38" s="110" t="s">
        <v>160</v>
      </c>
      <c r="B38" s="110" t="s">
        <v>16</v>
      </c>
      <c r="C38" s="118"/>
      <c r="D38" s="255">
        <v>437</v>
      </c>
      <c r="E38" s="118">
        <v>349</v>
      </c>
      <c r="F38" s="118"/>
      <c r="G38" s="118">
        <v>422</v>
      </c>
      <c r="H38" s="118">
        <v>369</v>
      </c>
      <c r="I38" s="118">
        <v>402</v>
      </c>
      <c r="J38" s="118"/>
      <c r="K38" s="339">
        <v>425</v>
      </c>
      <c r="L38" s="118"/>
      <c r="M38" s="234">
        <f t="shared" si="2"/>
        <v>2404</v>
      </c>
      <c r="N38" s="57">
        <v>2</v>
      </c>
      <c r="O38" s="57">
        <v>6</v>
      </c>
      <c r="P38" s="57">
        <v>-154</v>
      </c>
      <c r="Q38" s="57">
        <v>0</v>
      </c>
      <c r="T38" s="114">
        <v>1</v>
      </c>
    </row>
    <row r="39" spans="1:18" s="104" customFormat="1" ht="15.75">
      <c r="A39" s="145" t="s">
        <v>161</v>
      </c>
      <c r="B39" s="153" t="s">
        <v>205</v>
      </c>
      <c r="C39" s="146">
        <v>401</v>
      </c>
      <c r="D39" s="340">
        <v>433</v>
      </c>
      <c r="E39" s="146"/>
      <c r="F39" s="146">
        <v>394</v>
      </c>
      <c r="G39" s="340">
        <v>426</v>
      </c>
      <c r="H39" s="146"/>
      <c r="I39" s="340">
        <v>451</v>
      </c>
      <c r="J39" s="146"/>
      <c r="K39" s="146">
        <v>404</v>
      </c>
      <c r="L39" s="146"/>
      <c r="M39" s="69">
        <f t="shared" si="2"/>
        <v>2509</v>
      </c>
      <c r="N39" s="137">
        <v>5</v>
      </c>
      <c r="O39" s="137">
        <v>3</v>
      </c>
      <c r="P39" s="137">
        <v>11</v>
      </c>
      <c r="Q39" s="137">
        <v>2</v>
      </c>
      <c r="R39" s="104">
        <v>1</v>
      </c>
    </row>
    <row r="40" spans="1:18" s="30" customFormat="1" ht="15.75">
      <c r="A40" s="26" t="s">
        <v>162</v>
      </c>
      <c r="B40" s="26" t="s">
        <v>21</v>
      </c>
      <c r="C40" s="243">
        <v>458</v>
      </c>
      <c r="D40" s="243">
        <v>496</v>
      </c>
      <c r="E40" s="43"/>
      <c r="F40" s="243">
        <v>460</v>
      </c>
      <c r="G40" s="243">
        <v>433</v>
      </c>
      <c r="H40" s="43"/>
      <c r="I40" s="43">
        <v>413</v>
      </c>
      <c r="J40" s="43"/>
      <c r="K40" s="243">
        <v>436</v>
      </c>
      <c r="L40" s="43"/>
      <c r="M40" s="112">
        <f t="shared" si="2"/>
        <v>2696</v>
      </c>
      <c r="N40" s="123">
        <v>7</v>
      </c>
      <c r="O40" s="123">
        <v>1</v>
      </c>
      <c r="P40" s="123">
        <f>M40-2488</f>
        <v>208</v>
      </c>
      <c r="Q40" s="123">
        <v>2</v>
      </c>
      <c r="R40" s="30">
        <v>1</v>
      </c>
    </row>
    <row r="41" spans="1:18" s="23" customFormat="1" ht="15.75">
      <c r="A41" s="145" t="s">
        <v>163</v>
      </c>
      <c r="B41" s="153" t="s">
        <v>26</v>
      </c>
      <c r="C41" s="257">
        <v>460</v>
      </c>
      <c r="D41" s="257">
        <v>459</v>
      </c>
      <c r="E41" s="146"/>
      <c r="F41" s="146">
        <v>405</v>
      </c>
      <c r="G41" s="146">
        <v>422</v>
      </c>
      <c r="H41" s="146"/>
      <c r="I41" s="257">
        <v>446</v>
      </c>
      <c r="J41" s="146"/>
      <c r="K41" s="146">
        <v>389</v>
      </c>
      <c r="L41" s="146"/>
      <c r="M41" s="69">
        <f t="shared" si="2"/>
        <v>2581</v>
      </c>
      <c r="N41" s="19">
        <v>5</v>
      </c>
      <c r="O41" s="19">
        <v>3</v>
      </c>
      <c r="P41" s="19">
        <v>28</v>
      </c>
      <c r="Q41" s="19">
        <v>2</v>
      </c>
      <c r="R41" s="23">
        <v>1</v>
      </c>
    </row>
    <row r="42" spans="1:20" s="30" customFormat="1" ht="15.75">
      <c r="A42" s="110" t="s">
        <v>164</v>
      </c>
      <c r="B42" s="123" t="s">
        <v>208</v>
      </c>
      <c r="C42" s="255">
        <v>450</v>
      </c>
      <c r="D42" s="255">
        <v>444</v>
      </c>
      <c r="E42" s="118"/>
      <c r="F42" s="118">
        <v>380</v>
      </c>
      <c r="G42" s="255">
        <v>424</v>
      </c>
      <c r="H42" s="118"/>
      <c r="I42" s="118">
        <v>420</v>
      </c>
      <c r="J42" s="118"/>
      <c r="K42" s="118">
        <v>402</v>
      </c>
      <c r="L42" s="118"/>
      <c r="M42" s="234">
        <f t="shared" si="2"/>
        <v>2520</v>
      </c>
      <c r="N42" s="26">
        <v>3</v>
      </c>
      <c r="O42" s="26">
        <v>5</v>
      </c>
      <c r="P42" s="26">
        <v>-41</v>
      </c>
      <c r="Q42" s="26">
        <v>0</v>
      </c>
      <c r="T42" s="30">
        <v>1</v>
      </c>
    </row>
    <row r="43" spans="1:18" s="104" customFormat="1" ht="15.75">
      <c r="A43" s="19" t="s">
        <v>165</v>
      </c>
      <c r="B43" s="137" t="s">
        <v>206</v>
      </c>
      <c r="C43" s="244">
        <v>412</v>
      </c>
      <c r="D43" s="244">
        <v>479</v>
      </c>
      <c r="E43" s="42"/>
      <c r="F43" s="42">
        <v>400</v>
      </c>
      <c r="G43" s="244">
        <v>428</v>
      </c>
      <c r="H43" s="42"/>
      <c r="I43" s="42">
        <v>396</v>
      </c>
      <c r="J43" s="42"/>
      <c r="K43" s="42">
        <v>346</v>
      </c>
      <c r="L43" s="42"/>
      <c r="M43" s="102">
        <f t="shared" si="2"/>
        <v>2461</v>
      </c>
      <c r="N43" s="100">
        <v>5</v>
      </c>
      <c r="O43" s="100">
        <v>3</v>
      </c>
      <c r="P43" s="100">
        <v>65</v>
      </c>
      <c r="Q43" s="100">
        <v>2</v>
      </c>
      <c r="R43" s="104">
        <v>1</v>
      </c>
    </row>
    <row r="44" spans="1:20" s="30" customFormat="1" ht="15.75">
      <c r="A44" s="110" t="s">
        <v>265</v>
      </c>
      <c r="B44" s="123" t="s">
        <v>20</v>
      </c>
      <c r="C44" s="118">
        <v>404</v>
      </c>
      <c r="D44" s="255">
        <v>465</v>
      </c>
      <c r="E44" s="118"/>
      <c r="F44" s="118">
        <v>378</v>
      </c>
      <c r="G44" s="118">
        <v>417</v>
      </c>
      <c r="H44" s="118"/>
      <c r="I44" s="255">
        <v>423</v>
      </c>
      <c r="J44" s="118"/>
      <c r="K44" s="118">
        <v>393</v>
      </c>
      <c r="L44" s="118"/>
      <c r="M44" s="234">
        <f t="shared" si="2"/>
        <v>2480</v>
      </c>
      <c r="N44" s="26">
        <v>2</v>
      </c>
      <c r="O44" s="26">
        <v>6</v>
      </c>
      <c r="P44" s="26">
        <v>-94</v>
      </c>
      <c r="Q44" s="26">
        <v>0</v>
      </c>
      <c r="T44" s="30">
        <v>1</v>
      </c>
    </row>
    <row r="45" spans="1:18" s="148" customFormat="1" ht="15.75">
      <c r="A45" s="100" t="s">
        <v>266</v>
      </c>
      <c r="B45" s="121" t="s">
        <v>22</v>
      </c>
      <c r="C45" s="258">
        <v>426</v>
      </c>
      <c r="D45" s="258">
        <v>485</v>
      </c>
      <c r="E45" s="120">
        <v>334</v>
      </c>
      <c r="F45" s="258">
        <v>448</v>
      </c>
      <c r="G45" s="258">
        <v>422</v>
      </c>
      <c r="H45" s="120"/>
      <c r="I45" s="120"/>
      <c r="J45" s="120"/>
      <c r="K45" s="258">
        <v>414</v>
      </c>
      <c r="L45" s="120"/>
      <c r="M45" s="147">
        <f t="shared" si="2"/>
        <v>2529</v>
      </c>
      <c r="N45" s="145">
        <v>7</v>
      </c>
      <c r="O45" s="145">
        <v>1</v>
      </c>
      <c r="P45" s="145">
        <f>M45-2396</f>
        <v>133</v>
      </c>
      <c r="Q45" s="145">
        <v>2</v>
      </c>
      <c r="R45" s="148">
        <v>1</v>
      </c>
    </row>
    <row r="46" spans="1:18" s="30" customFormat="1" ht="15.75">
      <c r="A46" s="110" t="s">
        <v>303</v>
      </c>
      <c r="B46" s="123" t="s">
        <v>196</v>
      </c>
      <c r="C46" s="339">
        <v>431</v>
      </c>
      <c r="D46" s="339">
        <v>466</v>
      </c>
      <c r="E46" s="118">
        <v>319</v>
      </c>
      <c r="F46" s="118">
        <v>400</v>
      </c>
      <c r="G46" s="339">
        <v>435</v>
      </c>
      <c r="H46" s="118"/>
      <c r="I46" s="118"/>
      <c r="J46" s="118"/>
      <c r="K46" s="339">
        <v>414</v>
      </c>
      <c r="L46" s="118"/>
      <c r="M46" s="234">
        <f t="shared" si="2"/>
        <v>2465</v>
      </c>
      <c r="N46" s="26">
        <v>6</v>
      </c>
      <c r="O46" s="26">
        <v>2</v>
      </c>
      <c r="P46" s="26">
        <v>76</v>
      </c>
      <c r="Q46" s="26">
        <v>2</v>
      </c>
      <c r="R46" s="30">
        <v>1</v>
      </c>
    </row>
    <row r="47" spans="1:20" s="23" customFormat="1" ht="16.5" thickBot="1">
      <c r="A47" s="145" t="s">
        <v>304</v>
      </c>
      <c r="B47" s="153" t="s">
        <v>19</v>
      </c>
      <c r="C47" s="170">
        <v>426</v>
      </c>
      <c r="D47" s="364">
        <v>441</v>
      </c>
      <c r="E47" s="170"/>
      <c r="F47" s="170">
        <v>393</v>
      </c>
      <c r="G47" s="364">
        <v>429</v>
      </c>
      <c r="H47" s="170"/>
      <c r="I47" s="364">
        <v>455</v>
      </c>
      <c r="J47" s="170"/>
      <c r="K47" s="364">
        <v>445</v>
      </c>
      <c r="L47" s="170"/>
      <c r="M47" s="69">
        <f t="shared" si="2"/>
        <v>2589</v>
      </c>
      <c r="N47" s="25">
        <v>6</v>
      </c>
      <c r="O47" s="25">
        <v>2</v>
      </c>
      <c r="P47" s="25">
        <f>M47-2538</f>
        <v>51</v>
      </c>
      <c r="Q47" s="25">
        <v>2</v>
      </c>
      <c r="R47" s="151">
        <v>1</v>
      </c>
      <c r="S47" s="151"/>
      <c r="T47" s="151"/>
    </row>
    <row r="48" spans="3:20" ht="16.5" thickTop="1">
      <c r="C48" s="7">
        <f>SUM(C31:C47)</f>
        <v>6471</v>
      </c>
      <c r="D48" s="7">
        <f aca="true" t="shared" si="3" ref="D48:K48">SUM(D31:D47)</f>
        <v>7351</v>
      </c>
      <c r="E48" s="7">
        <f>SUM(E34:E36)+SUM(E41:E47)</f>
        <v>653</v>
      </c>
      <c r="F48" s="7">
        <f t="shared" si="3"/>
        <v>6118</v>
      </c>
      <c r="G48" s="7">
        <f t="shared" si="3"/>
        <v>6809</v>
      </c>
      <c r="H48" s="7">
        <f>SUM(H31:H36)+SUM(H38:H47)</f>
        <v>791</v>
      </c>
      <c r="I48" s="7">
        <f>SUM(I31:I38)</f>
        <v>2027</v>
      </c>
      <c r="J48" s="7">
        <f t="shared" si="3"/>
        <v>0</v>
      </c>
      <c r="K48" s="7">
        <f t="shared" si="3"/>
        <v>6551</v>
      </c>
      <c r="L48" s="7"/>
      <c r="N48" s="1">
        <f>SUM(N31:N47)</f>
        <v>79</v>
      </c>
      <c r="O48" s="1">
        <f>SUM(O31:O47)</f>
        <v>49</v>
      </c>
      <c r="P48" s="1">
        <f>SUM(P31:P47)</f>
        <v>418</v>
      </c>
      <c r="Q48" s="1">
        <f>SUM(Q31:Q47)</f>
        <v>23</v>
      </c>
      <c r="R48" s="6">
        <f>SUM(R31:R47)+R23</f>
        <v>24</v>
      </c>
      <c r="S48" s="6">
        <f>SUM(S31:S47)+S23</f>
        <v>2</v>
      </c>
      <c r="T48" s="6">
        <f>SUM(T31:T47)+T23</f>
        <v>6</v>
      </c>
    </row>
    <row r="49" spans="2:11" ht="31.5">
      <c r="B49" s="67" t="s">
        <v>250</v>
      </c>
      <c r="C49" s="1">
        <f>COUNT(C31:C47)</f>
        <v>15</v>
      </c>
      <c r="D49" s="1">
        <f aca="true" t="shared" si="4" ref="D49:K49">COUNT(D31:D47)</f>
        <v>16</v>
      </c>
      <c r="E49" s="1">
        <f>COUNT(E34:E36)+COUNT(E41:E47)</f>
        <v>2</v>
      </c>
      <c r="F49" s="1">
        <f t="shared" si="4"/>
        <v>15</v>
      </c>
      <c r="G49" s="1">
        <f t="shared" si="4"/>
        <v>16</v>
      </c>
      <c r="H49" s="1">
        <f>COUNT(H31:H36)+COUNT(H38:H47)</f>
        <v>2</v>
      </c>
      <c r="I49" s="1">
        <f>COUNT(I31:I38)</f>
        <v>5</v>
      </c>
      <c r="J49" s="1">
        <f t="shared" si="4"/>
        <v>0</v>
      </c>
      <c r="K49" s="1">
        <f t="shared" si="4"/>
        <v>16</v>
      </c>
    </row>
    <row r="50" spans="2:20" ht="31.5">
      <c r="B50" s="11" t="s">
        <v>247</v>
      </c>
      <c r="C50" s="16">
        <f>C48/C49</f>
        <v>431.4</v>
      </c>
      <c r="D50" s="16">
        <f aca="true" t="shared" si="5" ref="D50:K50">D48/D49</f>
        <v>459.4375</v>
      </c>
      <c r="E50" s="16">
        <f t="shared" si="5"/>
        <v>326.5</v>
      </c>
      <c r="F50" s="16">
        <f t="shared" si="5"/>
        <v>407.8666666666667</v>
      </c>
      <c r="G50" s="16">
        <f t="shared" si="5"/>
        <v>425.5625</v>
      </c>
      <c r="H50" s="16">
        <f>H48/H49</f>
        <v>395.5</v>
      </c>
      <c r="I50" s="16">
        <f t="shared" si="5"/>
        <v>405.4</v>
      </c>
      <c r="J50" s="16"/>
      <c r="K50" s="16">
        <f t="shared" si="5"/>
        <v>409.4375</v>
      </c>
      <c r="L50" s="16"/>
      <c r="M50" s="3" t="s">
        <v>30</v>
      </c>
      <c r="N50" s="371" t="s">
        <v>115</v>
      </c>
      <c r="O50" s="371"/>
      <c r="P50" s="3" t="s">
        <v>31</v>
      </c>
      <c r="Q50" s="10" t="s">
        <v>116</v>
      </c>
      <c r="S50" s="74" t="s">
        <v>126</v>
      </c>
      <c r="T50" s="74" t="s">
        <v>223</v>
      </c>
    </row>
    <row r="51" spans="13:20" ht="15.75">
      <c r="M51" s="6">
        <f>SUM(M31:M47)+M26</f>
        <v>81991</v>
      </c>
      <c r="N51" s="6">
        <f>+N26</f>
        <v>87</v>
      </c>
      <c r="O51" s="6">
        <f>+O26</f>
        <v>41</v>
      </c>
      <c r="P51" s="6">
        <f>+P26</f>
        <v>1565</v>
      </c>
      <c r="Q51" s="6">
        <f>+Q26</f>
        <v>27</v>
      </c>
      <c r="S51" s="2">
        <f>N51-O51</f>
        <v>46</v>
      </c>
      <c r="T51" s="56">
        <f>SUM(R48:T48)</f>
        <v>32</v>
      </c>
    </row>
    <row r="53" spans="13:14" ht="15.75">
      <c r="M53" s="1" t="s">
        <v>128</v>
      </c>
      <c r="N53" s="18">
        <f>M51/T51</f>
        <v>2562.21875</v>
      </c>
    </row>
  </sheetData>
  <sheetProtection/>
  <mergeCells count="11">
    <mergeCell ref="E1:F1"/>
    <mergeCell ref="H1:I1"/>
    <mergeCell ref="K1:L1"/>
    <mergeCell ref="K2:L2"/>
    <mergeCell ref="N50:O50"/>
    <mergeCell ref="I27:J27"/>
    <mergeCell ref="C4:L4"/>
    <mergeCell ref="N4:O4"/>
    <mergeCell ref="C27:D27"/>
    <mergeCell ref="N25:O25"/>
    <mergeCell ref="F27:G27"/>
  </mergeCells>
  <printOptions/>
  <pageMargins left="0.75" right="0.75" top="1" bottom="1" header="0.5" footer="0.5"/>
  <pageSetup horizontalDpi="600" verticalDpi="600" orientation="portrait" paperSize="9" r:id="rId1"/>
  <ignoredErrors>
    <ignoredError sqref="H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cp:lastPrinted>2012-09-04T09:31:28Z</cp:lastPrinted>
  <dcterms:created xsi:type="dcterms:W3CDTF">2008-09-16T07:00:15Z</dcterms:created>
  <dcterms:modified xsi:type="dcterms:W3CDTF">2013-05-17T19:13:51Z</dcterms:modified>
  <cp:category/>
  <cp:version/>
  <cp:contentType/>
  <cp:contentStatus/>
</cp:coreProperties>
</file>