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005" tabRatio="946" activeTab="0"/>
  </bookViews>
  <sheets>
    <sheet name="tabella" sheetId="1" r:id="rId1"/>
    <sheet name="Egyéni rangsor" sheetId="2" r:id="rId2"/>
    <sheet name="Kinizsi" sheetId="3" r:id="rId3"/>
    <sheet name="Santé" sheetId="4" r:id="rId4"/>
    <sheet name="Tápé" sheetId="5" r:id="rId5"/>
    <sheet name="Amazonok" sheetId="6" r:id="rId6"/>
    <sheet name="Anro ker" sheetId="7" r:id="rId7"/>
    <sheet name="Kalmár" sheetId="8" r:id="rId8"/>
    <sheet name="Phoenix" sheetId="9" r:id="rId9"/>
    <sheet name="Privát" sheetId="10" r:id="rId10"/>
    <sheet name="Dél Akku" sheetId="11" r:id="rId11"/>
    <sheet name="Szefo" sheetId="12" r:id="rId12"/>
    <sheet name="Temesvári Hús" sheetId="13" r:id="rId13"/>
    <sheet name="GLB" sheetId="14" r:id="rId14"/>
    <sheet name="Fa-Team" sheetId="15" r:id="rId15"/>
    <sheet name="Démász" sheetId="16" r:id="rId16"/>
    <sheet name="Postás" sheetId="17" r:id="rId17"/>
    <sheet name="Euroteke" sheetId="18" r:id="rId18"/>
    <sheet name="őszi végeredmény" sheetId="19" r:id="rId19"/>
  </sheets>
  <definedNames/>
  <calcPr fullCalcOnLoad="1"/>
</workbook>
</file>

<file path=xl/sharedStrings.xml><?xml version="1.0" encoding="utf-8"?>
<sst xmlns="http://schemas.openxmlformats.org/spreadsheetml/2006/main" count="2499" uniqueCount="295">
  <si>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</si>
  <si>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</si>
  <si>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</si>
  <si>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</si>
  <si>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</si>
  <si>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</si>
  <si>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</si>
  <si>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</si>
  <si>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</si>
  <si>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</si>
  <si>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</si>
  <si>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</si>
  <si>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</si>
  <si>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</si>
  <si>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</si>
  <si>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Tápé</t>
  </si>
  <si>
    <t>Kalmár</t>
  </si>
  <si>
    <t>Privát</t>
  </si>
  <si>
    <t>Phoenix</t>
  </si>
  <si>
    <t>Anro Ker</t>
  </si>
  <si>
    <t>Szefo</t>
  </si>
  <si>
    <t>Dél Akku</t>
  </si>
  <si>
    <t>Postás</t>
  </si>
  <si>
    <t>Santé</t>
  </si>
  <si>
    <t>Amazonok</t>
  </si>
  <si>
    <t>Ellenfél</t>
  </si>
  <si>
    <t>Kinizsi</t>
  </si>
  <si>
    <t>Dobók</t>
  </si>
  <si>
    <t>mérkőzés eredménye</t>
  </si>
  <si>
    <t>ellenfél</t>
  </si>
  <si>
    <t>Össz. dobott fa</t>
  </si>
  <si>
    <t>fa különbség</t>
  </si>
  <si>
    <t>Olajos Mihály</t>
  </si>
  <si>
    <t>Szabó László</t>
  </si>
  <si>
    <t>Kaufmann Zoltán</t>
  </si>
  <si>
    <t>Gyuris Gábor</t>
  </si>
  <si>
    <t>Elek-Savanya István</t>
  </si>
  <si>
    <t>Tímár Edina</t>
  </si>
  <si>
    <t>Sáfrány Anita</t>
  </si>
  <si>
    <t>Dobozi Iván</t>
  </si>
  <si>
    <t>Pontfogók jelölése</t>
  </si>
  <si>
    <t>Vidács István</t>
  </si>
  <si>
    <t>Mészáros Mihály</t>
  </si>
  <si>
    <t>Bálint József</t>
  </si>
  <si>
    <t>Avar György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</si>
  <si>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</si>
  <si>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</si>
  <si>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</si>
  <si>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</si>
  <si>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</si>
  <si>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</si>
  <si>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</si>
  <si>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</si>
  <si>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</si>
  <si>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</si>
  <si>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</si>
  <si>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</si>
  <si>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</si>
  <si>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</si>
  <si>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</si>
  <si>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Galgóczy Tibor</t>
  </si>
  <si>
    <t>Dancsó Antal</t>
  </si>
  <si>
    <t>Moráth László</t>
  </si>
  <si>
    <t>Jaksa Tibor</t>
  </si>
  <si>
    <t>Balogh László</t>
  </si>
  <si>
    <t>Naschitz Károly</t>
  </si>
  <si>
    <t>Zsódi Imre</t>
  </si>
  <si>
    <t>Lázár János</t>
  </si>
  <si>
    <t>Tompa Panni</t>
  </si>
  <si>
    <t>Ifj. Bogdán Gábor</t>
  </si>
  <si>
    <t>Hódi Tamás</t>
  </si>
  <si>
    <t>Bogdán Gábor</t>
  </si>
  <si>
    <t>Péter Csaba</t>
  </si>
  <si>
    <t>Bodócsi László</t>
  </si>
  <si>
    <t>Mladin István</t>
  </si>
  <si>
    <t>Papp Tamás</t>
  </si>
  <si>
    <t>Calbert László</t>
  </si>
  <si>
    <t>Majoros Tibor</t>
  </si>
  <si>
    <t>Nagymihályné Böbe</t>
  </si>
  <si>
    <t>Busa Endre</t>
  </si>
  <si>
    <t>Battancs Szilveszter</t>
  </si>
  <si>
    <t>Kerti Róbert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</si>
  <si>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</si>
  <si>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</si>
  <si>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</si>
  <si>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</si>
  <si>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</si>
  <si>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</si>
  <si>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</si>
  <si>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Kalmár László</t>
  </si>
  <si>
    <t>Balogh József</t>
  </si>
  <si>
    <t>Ifj. Sonkoly László</t>
  </si>
  <si>
    <t>Naschitz Katalin</t>
  </si>
  <si>
    <t>Veres Zsolt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</si>
  <si>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</si>
  <si>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</si>
  <si>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</si>
  <si>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</si>
  <si>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</si>
  <si>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</si>
  <si>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Balla Sándor</t>
  </si>
  <si>
    <t>Nagymihály Ferenc</t>
  </si>
  <si>
    <t>Frank Antal</t>
  </si>
  <si>
    <t>Csamangó Csaba</t>
  </si>
  <si>
    <t>Szendrei Zsolt</t>
  </si>
  <si>
    <t>Szanyi Géza</t>
  </si>
  <si>
    <t>Kalmár József</t>
  </si>
  <si>
    <t>Németh József</t>
  </si>
  <si>
    <t>Balázs István</t>
  </si>
  <si>
    <t>Kórász Anna</t>
  </si>
  <si>
    <t>Ferenczi László</t>
  </si>
  <si>
    <t>Pocsainé Zsuzsa</t>
  </si>
  <si>
    <t>Juhász Tibor</t>
  </si>
  <si>
    <t>Bolgár Tamás</t>
  </si>
  <si>
    <t>Nagy-Dani Károly</t>
  </si>
  <si>
    <t>Forró Anita</t>
  </si>
  <si>
    <t>Szerzett pontok</t>
  </si>
  <si>
    <t>Szett állás</t>
  </si>
  <si>
    <t>Össz pontszám:</t>
  </si>
  <si>
    <t>Faragó Zoltán</t>
  </si>
  <si>
    <t>Eperjesi József</t>
  </si>
  <si>
    <t>Márta Sándor</t>
  </si>
  <si>
    <t>Gál Zoltán</t>
  </si>
  <si>
    <t>Kovács Béla</t>
  </si>
  <si>
    <t>Gyöngyösi Mária</t>
  </si>
  <si>
    <t>Berek Tibor</t>
  </si>
  <si>
    <t>Horváth Ibolya</t>
  </si>
  <si>
    <t>Vámosi Lukács</t>
  </si>
  <si>
    <t>szett különbség</t>
  </si>
  <si>
    <t>Átlag:</t>
  </si>
  <si>
    <t>csapat átlag:</t>
  </si>
  <si>
    <t>Farkas Ilona</t>
  </si>
  <si>
    <t>Bajorics Csaba</t>
  </si>
  <si>
    <t>Kendrella István</t>
  </si>
  <si>
    <t>hazai mérkőzés</t>
  </si>
  <si>
    <t>idegenbeli mérkőzés</t>
  </si>
  <si>
    <t>Kaszás Zoltán</t>
  </si>
  <si>
    <t>Horváth Hajni</t>
  </si>
  <si>
    <t>Ótott Katalin</t>
  </si>
  <si>
    <t>Kővágó György</t>
  </si>
  <si>
    <t>Tóth Andrea</t>
  </si>
  <si>
    <t>HÉTFŐ</t>
  </si>
  <si>
    <t>17.00</t>
  </si>
  <si>
    <t>KINIZSI  pálya</t>
  </si>
  <si>
    <t>Hazai mérkőzése</t>
  </si>
  <si>
    <t>18.00</t>
  </si>
  <si>
    <t>KISSTADION</t>
  </si>
  <si>
    <t>SZERDA</t>
  </si>
  <si>
    <t>19.00</t>
  </si>
  <si>
    <t>CSÜTÖRTÖK</t>
  </si>
  <si>
    <t>PÉNTEK</t>
  </si>
  <si>
    <t>Bárkai Krisztián</t>
  </si>
  <si>
    <t>Lele József</t>
  </si>
  <si>
    <t>Szabó István</t>
  </si>
  <si>
    <t>Össz. Szettpont</t>
  </si>
  <si>
    <t>Össz. Pont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</si>
  <si>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</si>
  <si>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</si>
  <si>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</si>
  <si>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</si>
  <si>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</si>
  <si>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</si>
  <si>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</si>
  <si>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</si>
  <si>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</si>
  <si>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27. forduló</t>
  </si>
  <si>
    <t>28. forduló</t>
  </si>
  <si>
    <t>29. forduló</t>
  </si>
  <si>
    <t>30. forduló</t>
  </si>
  <si>
    <t>Démász</t>
  </si>
  <si>
    <t>Kedd</t>
  </si>
  <si>
    <t>Ludvig János</t>
  </si>
  <si>
    <t>Kenéz Ferenc</t>
  </si>
  <si>
    <t>Kun Mária</t>
  </si>
  <si>
    <t>Rangasz Pál</t>
  </si>
  <si>
    <t>Dezső Csaba</t>
  </si>
  <si>
    <t>Wéber Péter</t>
  </si>
  <si>
    <t>Szunyi József</t>
  </si>
  <si>
    <t>Bogdán Tamás</t>
  </si>
  <si>
    <t>Kántor János</t>
  </si>
  <si>
    <t>Huszka Bea</t>
  </si>
  <si>
    <t>Soós Béla</t>
  </si>
  <si>
    <t>Dobra Tamás</t>
  </si>
  <si>
    <t>Scheibli Zoltán</t>
  </si>
  <si>
    <t>Olajosné Krisztina</t>
  </si>
  <si>
    <t>Zsoldi Mária</t>
  </si>
  <si>
    <t>Andrási Csaba</t>
  </si>
  <si>
    <t>Szegedi Helga</t>
  </si>
  <si>
    <t>Tóth Anita</t>
  </si>
  <si>
    <t>Pontszám</t>
  </si>
  <si>
    <t>mérkőzés</t>
  </si>
  <si>
    <t>GY</t>
  </si>
  <si>
    <t>D</t>
  </si>
  <si>
    <t>V</t>
  </si>
  <si>
    <t>Szett pont</t>
  </si>
  <si>
    <t>csapat</t>
  </si>
  <si>
    <t>Domonyi János</t>
  </si>
  <si>
    <t>Benke Zoltán</t>
  </si>
  <si>
    <t>Pocsai Zoltán</t>
  </si>
  <si>
    <t>Maróti Katalin</t>
  </si>
  <si>
    <t>Farkas B. Kálmán</t>
  </si>
  <si>
    <t>Tót Zsolt</t>
  </si>
  <si>
    <t>Giday Kálmán</t>
  </si>
  <si>
    <t>Papp Ákos</t>
  </si>
  <si>
    <t>EDF Démász</t>
  </si>
  <si>
    <t>Temesvári Ferenc</t>
  </si>
  <si>
    <t>Szombati János</t>
  </si>
  <si>
    <t>Csentes József</t>
  </si>
  <si>
    <t>Szerda</t>
  </si>
  <si>
    <t>Újvári Mátyás</t>
  </si>
  <si>
    <t xml:space="preserve">Péter Norbert </t>
  </si>
  <si>
    <t>Csütörtök</t>
  </si>
  <si>
    <t>16.30</t>
  </si>
  <si>
    <t>Euroteke sörözö Tápé</t>
  </si>
  <si>
    <t>Temesvári Hús</t>
  </si>
  <si>
    <t>Fa-Team</t>
  </si>
  <si>
    <t>Kalmár Motor</t>
  </si>
  <si>
    <t>GLB</t>
  </si>
  <si>
    <t>Euroteke</t>
  </si>
  <si>
    <t>FA-Team</t>
  </si>
  <si>
    <t xml:space="preserve">Fa-Team </t>
  </si>
  <si>
    <t>16. forduló</t>
  </si>
  <si>
    <t>17. forduló</t>
  </si>
  <si>
    <t>Fa Team</t>
  </si>
  <si>
    <t>Temesvári HÚS</t>
  </si>
  <si>
    <t>Papp Róbert</t>
  </si>
  <si>
    <t>Ábrahám Máté</t>
  </si>
  <si>
    <t>Ács-Sánta Péter</t>
  </si>
  <si>
    <t>Bodó Zoltán</t>
  </si>
  <si>
    <t>Farkas Roland</t>
  </si>
  <si>
    <t>Füredi László</t>
  </si>
  <si>
    <t>Gera Tibor</t>
  </si>
  <si>
    <t>Juhász Tamás</t>
  </si>
  <si>
    <t>Kratochwill József</t>
  </si>
  <si>
    <t>Márta Gergő</t>
  </si>
  <si>
    <t>Miklós Zsolt</t>
  </si>
  <si>
    <t>Nagy Gergely</t>
  </si>
  <si>
    <t>Pap Dezső</t>
  </si>
  <si>
    <t>Rajda Csaba</t>
  </si>
  <si>
    <t>Szekeres Dávid</t>
  </si>
  <si>
    <t>Terhes Csaba</t>
  </si>
  <si>
    <t>2.</t>
  </si>
  <si>
    <t>Andracsek Tibor</t>
  </si>
  <si>
    <t>Kovács Zsolt</t>
  </si>
  <si>
    <t>Nagy János</t>
  </si>
  <si>
    <t>Tóth Tibor</t>
  </si>
  <si>
    <t>Veres Attila</t>
  </si>
  <si>
    <t>össz. mérkőzés</t>
  </si>
  <si>
    <t>Mérkőzések</t>
  </si>
  <si>
    <t>Mérkőzés</t>
  </si>
  <si>
    <t>Sante</t>
  </si>
  <si>
    <t>mérközés</t>
  </si>
  <si>
    <t>Anro ker</t>
  </si>
  <si>
    <t>Glb</t>
  </si>
  <si>
    <t>NÉV</t>
  </si>
  <si>
    <t>Csapat</t>
  </si>
  <si>
    <t>Csapat átlag</t>
  </si>
  <si>
    <t>Militár Ádám</t>
  </si>
  <si>
    <t>Szkurák Zoltán</t>
  </si>
  <si>
    <t>Idegenben ütött össz. fa:</t>
  </si>
  <si>
    <t>idegenben ütött fa:</t>
  </si>
  <si>
    <t>Azonos pontszám, szettpont esetén az idegenben ütött fa számít</t>
  </si>
  <si>
    <t>amit az a táblázatban is látható</t>
  </si>
  <si>
    <t>3.</t>
  </si>
  <si>
    <t>4.</t>
  </si>
  <si>
    <t>5.</t>
  </si>
  <si>
    <t>6.</t>
  </si>
  <si>
    <t>7.</t>
  </si>
  <si>
    <t>8.</t>
  </si>
  <si>
    <t>9.</t>
  </si>
  <si>
    <t>15.</t>
  </si>
  <si>
    <t>16.</t>
  </si>
  <si>
    <t>2011-2012-es bajnokság őszi végeredmény</t>
  </si>
  <si>
    <t>Őszi átlag</t>
  </si>
  <si>
    <t>Őszi Helyzés</t>
  </si>
  <si>
    <t>Tavaszi átlag</t>
  </si>
  <si>
    <t>tavaszi sorrend</t>
  </si>
  <si>
    <t>tavaszi mérkőzés</t>
  </si>
  <si>
    <t>Tavaszi átlag:</t>
  </si>
  <si>
    <t>Tavaszi mérkőzés</t>
  </si>
  <si>
    <t>Tavaszi mérkőzések</t>
  </si>
  <si>
    <t>Az 50 dobás értéke nem szerepel a táblázatban, senkinél sem,</t>
  </si>
  <si>
    <t>csak a 100 dobás értéke van figyelembe véve.</t>
  </si>
  <si>
    <t>Andracsek Roland</t>
  </si>
  <si>
    <t>-</t>
  </si>
  <si>
    <t>Iványi László</t>
  </si>
  <si>
    <t>Szabó Gábor</t>
  </si>
  <si>
    <t>Németh István</t>
  </si>
  <si>
    <t>Galgóczi Tibor</t>
  </si>
  <si>
    <t>Csuka Zsanett</t>
  </si>
  <si>
    <t>Szani Péter</t>
  </si>
  <si>
    <t>Buri Jenő</t>
  </si>
  <si>
    <t>Terhes Mihály</t>
  </si>
  <si>
    <t>Farkas Erika</t>
  </si>
  <si>
    <t>2011-2012-es bajnokság alapszakasz végeredménye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</si>
</sst>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#,##0\ &quot;Ft&quot;"/>
  </numFmts>
  <fonts count="5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12"/>
      <name val="Times New Roman"/>
      <family val="1"/>
    </font>
    <font>
      <sz val="10"/>
      <color indexed="12"/>
      <name val="Arial CE"/>
      <family val="0"/>
    </font>
    <font>
      <sz val="12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 CE"/>
      <family val="0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3" fontId="9" fillId="0" borderId="23" xfId="43" applyNumberFormat="1" applyFont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3" fillId="0" borderId="19" xfId="43" applyNumberFormat="1" applyFont="1" applyBorder="1" applyAlignment="1" applyProtection="1">
      <alignment horizontal="center"/>
      <protection/>
    </xf>
    <xf numFmtId="0" fontId="2" fillId="0" borderId="24" xfId="0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13" fillId="0" borderId="25" xfId="43" applyNumberFormat="1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9" fillId="0" borderId="28" xfId="43" applyNumberFormat="1" applyFont="1" applyBorder="1" applyAlignment="1" applyProtection="1">
      <alignment horizontal="center"/>
      <protection/>
    </xf>
    <xf numFmtId="3" fontId="9" fillId="0" borderId="29" xfId="43" applyNumberFormat="1" applyFont="1" applyBorder="1" applyAlignment="1" applyProtection="1">
      <alignment horizontal="center"/>
      <protection/>
    </xf>
    <xf numFmtId="3" fontId="9" fillId="0" borderId="30" xfId="43" applyNumberFormat="1" applyFont="1" applyBorder="1" applyAlignment="1" applyProtection="1">
      <alignment horizontal="center"/>
      <protection/>
    </xf>
    <xf numFmtId="3" fontId="9" fillId="0" borderId="31" xfId="43" applyNumberFormat="1" applyFont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3" fillId="0" borderId="18" xfId="43" applyNumberFormat="1" applyFont="1" applyBorder="1" applyAlignment="1" applyProtection="1">
      <alignment horizontal="center"/>
      <protection/>
    </xf>
    <xf numFmtId="3" fontId="0" fillId="0" borderId="18" xfId="0" applyNumberFormat="1" applyBorder="1" applyAlignment="1">
      <alignment horizontal="center"/>
    </xf>
    <xf numFmtId="0" fontId="0" fillId="0" borderId="0" xfId="0" applyAlignment="1">
      <alignment/>
    </xf>
    <xf numFmtId="3" fontId="17" fillId="0" borderId="18" xfId="43" applyNumberFormat="1" applyFont="1" applyBorder="1" applyAlignment="1" applyProtection="1">
      <alignment horizontal="center"/>
      <protection/>
    </xf>
    <xf numFmtId="3" fontId="17" fillId="0" borderId="19" xfId="43" applyNumberFormat="1" applyFont="1" applyBorder="1" applyAlignment="1" applyProtection="1">
      <alignment horizontal="center"/>
      <protection/>
    </xf>
    <xf numFmtId="3" fontId="17" fillId="0" borderId="25" xfId="43" applyNumberFormat="1" applyFont="1" applyBorder="1" applyAlignment="1" applyProtection="1">
      <alignment horizontal="center"/>
      <protection/>
    </xf>
    <xf numFmtId="0" fontId="5" fillId="35" borderId="35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9" fillId="0" borderId="36" xfId="43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2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wrapText="1"/>
    </xf>
    <xf numFmtId="0" fontId="16" fillId="0" borderId="0" xfId="0" applyFont="1" applyAlignment="1">
      <alignment/>
    </xf>
    <xf numFmtId="1" fontId="14" fillId="0" borderId="38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9" fillId="0" borderId="17" xfId="43" applyNumberFormat="1" applyFont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14" fillId="0" borderId="38" xfId="0" applyFont="1" applyFill="1" applyBorder="1" applyAlignment="1">
      <alignment horizont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/>
    </xf>
    <xf numFmtId="1" fontId="14" fillId="0" borderId="38" xfId="0" applyNumberFormat="1" applyFont="1" applyFill="1" applyBorder="1" applyAlignment="1">
      <alignment horizontal="center" vertical="center"/>
    </xf>
    <xf numFmtId="1" fontId="18" fillId="0" borderId="38" xfId="0" applyNumberFormat="1" applyFont="1" applyFill="1" applyBorder="1" applyAlignment="1">
      <alignment horizontal="center"/>
    </xf>
    <xf numFmtId="1" fontId="15" fillId="0" borderId="38" xfId="0" applyNumberFormat="1" applyFont="1" applyFill="1" applyBorder="1" applyAlignment="1">
      <alignment horizontal="center"/>
    </xf>
    <xf numFmtId="1" fontId="14" fillId="0" borderId="38" xfId="0" applyNumberFormat="1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7" fillId="36" borderId="12" xfId="0" applyFont="1" applyFill="1" applyBorder="1" applyAlignment="1">
      <alignment horizontal="center"/>
    </xf>
    <xf numFmtId="3" fontId="9" fillId="0" borderId="39" xfId="43" applyNumberFormat="1" applyFont="1" applyBorder="1" applyAlignment="1" applyProtection="1">
      <alignment horizontal="center"/>
      <protection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9" fillId="0" borderId="44" xfId="43" applyNumberFormat="1" applyFont="1" applyBorder="1" applyAlignment="1" applyProtection="1">
      <alignment horizontal="center"/>
      <protection/>
    </xf>
    <xf numFmtId="3" fontId="9" fillId="0" borderId="45" xfId="43" applyNumberFormat="1" applyFont="1" applyBorder="1" applyAlignment="1" applyProtection="1">
      <alignment horizontal="center"/>
      <protection/>
    </xf>
    <xf numFmtId="3" fontId="13" fillId="0" borderId="40" xfId="43" applyNumberFormat="1" applyFont="1" applyBorder="1" applyAlignment="1" applyProtection="1">
      <alignment horizontal="center"/>
      <protection/>
    </xf>
    <xf numFmtId="3" fontId="17" fillId="0" borderId="40" xfId="43" applyNumberFormat="1" applyFont="1" applyBorder="1" applyAlignment="1" applyProtection="1">
      <alignment horizontal="center"/>
      <protection/>
    </xf>
    <xf numFmtId="3" fontId="1" fillId="0" borderId="40" xfId="0" applyNumberFormat="1" applyFon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9" fillId="0" borderId="47" xfId="43" applyNumberFormat="1" applyFont="1" applyBorder="1" applyAlignment="1" applyProtection="1">
      <alignment horizontal="center"/>
      <protection/>
    </xf>
    <xf numFmtId="3" fontId="13" fillId="0" borderId="33" xfId="43" applyNumberFormat="1" applyFont="1" applyBorder="1" applyAlignment="1" applyProtection="1">
      <alignment horizontal="center"/>
      <protection/>
    </xf>
    <xf numFmtId="3" fontId="17" fillId="0" borderId="33" xfId="43" applyNumberFormat="1" applyFont="1" applyBorder="1" applyAlignment="1" applyProtection="1">
      <alignment horizontal="center"/>
      <protection/>
    </xf>
    <xf numFmtId="3" fontId="1" fillId="0" borderId="33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34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26"/>
  <sheetViews>
    <sheetView tabSelected="1" zoomScalePageLayoutView="0" workbookViewId="0" topLeftCell="C1">
      <selection activeCell="C4" sqref="C4"/>
    </sheetView>
  </sheetViews>
  <sheetFormatPr defaultColWidth="9.00390625" defaultRowHeight="12.75"/>
  <cols>
    <col min="3" max="3" width="7.625" style="0" customWidth="1"/>
    <col min="4" max="4" width="14.00390625" style="0" bestFit="1" customWidth="1"/>
    <col min="5" max="5" width="10.125" style="0" bestFit="1" customWidth="1"/>
    <col min="6" max="6" width="7.375" style="0" customWidth="1"/>
    <col min="7" max="7" width="5.75390625" style="0" customWidth="1"/>
    <col min="8" max="8" width="6.125" style="0" customWidth="1"/>
    <col min="9" max="9" width="5.875" style="0" customWidth="1"/>
    <col min="10" max="10" width="5.625" style="0" customWidth="1"/>
    <col min="11" max="11" width="15.875" style="0" bestFit="1" customWidth="1"/>
    <col min="12" max="12" width="10.00390625" style="0" bestFit="1" customWidth="1"/>
    <col min="13" max="13" width="24.75390625" style="0" bestFit="1" customWidth="1"/>
    <col min="14" max="14" width="13.125" style="0" bestFit="1" customWidth="1"/>
    <col min="15" max="15" width="24.75390625" style="0" bestFit="1" customWidth="1"/>
  </cols>
  <sheetData>
    <row r="3" spans="3:14" ht="15.75">
      <c r="C3" s="262" t="s">
        <v>294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ht="13.5" thickBot="1"/>
    <row r="5" spans="3:15" ht="16.5" thickBot="1">
      <c r="C5" s="56"/>
      <c r="D5" s="128" t="s">
        <v>195</v>
      </c>
      <c r="E5" s="128" t="s">
        <v>190</v>
      </c>
      <c r="F5" s="121" t="s">
        <v>191</v>
      </c>
      <c r="G5" s="129" t="s">
        <v>192</v>
      </c>
      <c r="H5" s="122" t="s">
        <v>193</v>
      </c>
      <c r="I5" s="263" t="s">
        <v>194</v>
      </c>
      <c r="J5" s="264"/>
      <c r="K5" s="128" t="s">
        <v>128</v>
      </c>
      <c r="L5" s="128" t="s">
        <v>189</v>
      </c>
      <c r="M5" s="117" t="s">
        <v>259</v>
      </c>
      <c r="N5" s="117" t="s">
        <v>256</v>
      </c>
      <c r="O5" s="130" t="s">
        <v>30</v>
      </c>
    </row>
    <row r="6" spans="3:15" ht="15.75">
      <c r="C6" s="131">
        <v>1</v>
      </c>
      <c r="D6" s="64" t="s">
        <v>26</v>
      </c>
      <c r="E6" s="65">
        <f>Kinizsi!U48</f>
        <v>30</v>
      </c>
      <c r="F6" s="66">
        <f>Kinizsi!S45</f>
        <v>24</v>
      </c>
      <c r="G6" s="66">
        <f>Kinizsi!T45</f>
        <v>0</v>
      </c>
      <c r="H6" s="66">
        <f>Kinizsi!U45</f>
        <v>6</v>
      </c>
      <c r="I6" s="143">
        <f>Kinizsi!O48</f>
        <v>153</v>
      </c>
      <c r="J6" s="200">
        <f>Kinizsi!P48</f>
        <v>87</v>
      </c>
      <c r="K6" s="134">
        <f>Kinizsi!M26</f>
        <v>66</v>
      </c>
      <c r="L6" s="137">
        <f>Kinizsi!K26</f>
        <v>48</v>
      </c>
      <c r="M6" s="141">
        <f>Kinizsi!O24</f>
        <v>38766</v>
      </c>
      <c r="N6" s="135">
        <f>Kinizsi!O50</f>
        <v>2623.5333333333333</v>
      </c>
      <c r="O6" s="143">
        <f>Kinizsi!N48</f>
        <v>78706</v>
      </c>
    </row>
    <row r="7" spans="3:15" ht="15.75">
      <c r="C7" s="65" t="s">
        <v>241</v>
      </c>
      <c r="D7" s="65" t="s">
        <v>216</v>
      </c>
      <c r="E7" s="65">
        <f>Kalmár!T48</f>
        <v>30</v>
      </c>
      <c r="F7" s="66">
        <f>Kalmár!R45</f>
        <v>22</v>
      </c>
      <c r="G7" s="66">
        <f>Kalmár!S45</f>
        <v>0</v>
      </c>
      <c r="H7" s="66">
        <f>Kalmár!T45</f>
        <v>8</v>
      </c>
      <c r="I7" s="124">
        <f>Kalmár!I26</f>
        <v>150</v>
      </c>
      <c r="J7" s="123">
        <f>Kalmár!J26</f>
        <v>90</v>
      </c>
      <c r="K7" s="116">
        <f>Kalmár!L26</f>
        <v>60</v>
      </c>
      <c r="L7" s="138">
        <f>Kalmár!K26</f>
        <v>44</v>
      </c>
      <c r="M7" s="115">
        <f>Kalmár!N24</f>
        <v>38658</v>
      </c>
      <c r="N7" s="118">
        <f>Kalmár!N50</f>
        <v>2587.766666666667</v>
      </c>
      <c r="O7" s="124">
        <f>Kalmár!M48</f>
        <v>77633</v>
      </c>
    </row>
    <row r="8" spans="3:15" ht="15.75">
      <c r="C8" s="65" t="s">
        <v>263</v>
      </c>
      <c r="D8" s="65" t="s">
        <v>24</v>
      </c>
      <c r="E8" s="65">
        <f>Amazonok!T48</f>
        <v>30</v>
      </c>
      <c r="F8" s="66">
        <f>Amazonok!Q45</f>
        <v>20</v>
      </c>
      <c r="G8" s="66">
        <f>Amazonok!R45</f>
        <v>2</v>
      </c>
      <c r="H8" s="66">
        <f>Amazonok!S45</f>
        <v>8</v>
      </c>
      <c r="I8" s="124">
        <f>Amazonok!I26</f>
        <v>141</v>
      </c>
      <c r="J8" s="123">
        <f>Amazonok!J26</f>
        <v>99</v>
      </c>
      <c r="K8" s="116">
        <f>Amazonok!L26</f>
        <v>42</v>
      </c>
      <c r="L8" s="138">
        <f>Amazonok!K26</f>
        <v>42</v>
      </c>
      <c r="M8" s="115">
        <f>Amazonok!N24</f>
        <v>39062</v>
      </c>
      <c r="N8" s="118">
        <f>Amazonok!N50</f>
        <v>2594.4</v>
      </c>
      <c r="O8" s="124">
        <f>Amazonok!M48</f>
        <v>77832</v>
      </c>
    </row>
    <row r="9" spans="3:15" ht="16.5" thickBot="1">
      <c r="C9" s="127" t="s">
        <v>264</v>
      </c>
      <c r="D9" s="127" t="s">
        <v>23</v>
      </c>
      <c r="E9" s="127">
        <f>Santé!T48</f>
        <v>30</v>
      </c>
      <c r="F9" s="132">
        <f>Santé!R45</f>
        <v>20</v>
      </c>
      <c r="G9" s="132">
        <f>Santé!S45</f>
        <v>1</v>
      </c>
      <c r="H9" s="132">
        <f>Santé!T45</f>
        <v>9</v>
      </c>
      <c r="I9" s="125">
        <f>Santé!I26</f>
        <v>143</v>
      </c>
      <c r="J9" s="126">
        <f>Santé!J26</f>
        <v>97</v>
      </c>
      <c r="K9" s="120">
        <f>Santé!L26</f>
        <v>46</v>
      </c>
      <c r="L9" s="139">
        <f>Santé!K26</f>
        <v>41</v>
      </c>
      <c r="M9" s="142">
        <f>Santé!N24</f>
        <v>38087</v>
      </c>
      <c r="N9" s="119">
        <f>Santé!N50</f>
        <v>2549.866666666667</v>
      </c>
      <c r="O9" s="125">
        <f>Santé!M48</f>
        <v>76496</v>
      </c>
    </row>
    <row r="10" spans="3:15" ht="15.75">
      <c r="C10" s="64" t="s">
        <v>265</v>
      </c>
      <c r="D10" s="64" t="s">
        <v>15</v>
      </c>
      <c r="E10" s="64">
        <f>Tápé!U48</f>
        <v>30</v>
      </c>
      <c r="F10" s="63">
        <f>Tápé!S45</f>
        <v>20</v>
      </c>
      <c r="G10" s="63">
        <f>Tápé!T45</f>
        <v>0</v>
      </c>
      <c r="H10" s="63">
        <f>Tápé!U45</f>
        <v>10</v>
      </c>
      <c r="I10" s="99">
        <f>Tápé!J26</f>
        <v>140</v>
      </c>
      <c r="J10" s="243">
        <f>Tápé!K26</f>
        <v>100</v>
      </c>
      <c r="K10" s="134">
        <f>Tápé!M26</f>
        <v>40</v>
      </c>
      <c r="L10" s="137">
        <f>Tápé!L26</f>
        <v>40</v>
      </c>
      <c r="M10" s="141">
        <f>Tápé!O24</f>
        <v>38709</v>
      </c>
      <c r="N10" s="135">
        <f>Tápé!O50</f>
        <v>2580.8333333333335</v>
      </c>
      <c r="O10" s="99">
        <f>Tápé!N48</f>
        <v>77425</v>
      </c>
    </row>
    <row r="11" spans="3:15" ht="15.75">
      <c r="C11" s="65" t="s">
        <v>266</v>
      </c>
      <c r="D11" s="65" t="s">
        <v>17</v>
      </c>
      <c r="E11" s="115">
        <f>Privát!S48</f>
        <v>30</v>
      </c>
      <c r="F11" s="66">
        <f>Privát!Q45</f>
        <v>18</v>
      </c>
      <c r="G11" s="66">
        <f>Privát!R45</f>
        <v>3</v>
      </c>
      <c r="H11" s="66">
        <f>Privát!S45</f>
        <v>9</v>
      </c>
      <c r="I11" s="124">
        <f>Privát!L26</f>
        <v>137</v>
      </c>
      <c r="J11" s="123">
        <f>Privát!M26</f>
        <v>103</v>
      </c>
      <c r="K11" s="116">
        <f>Privát!O26</f>
        <v>34</v>
      </c>
      <c r="L11" s="138">
        <f>Privát!N26</f>
        <v>39</v>
      </c>
      <c r="M11" s="115">
        <f>Privát!O24</f>
        <v>38531</v>
      </c>
      <c r="N11" s="118">
        <f>Privát!O50</f>
        <v>2585.8</v>
      </c>
      <c r="O11" s="124">
        <f>Privát!L48</f>
        <v>77574</v>
      </c>
    </row>
    <row r="12" spans="3:15" ht="15.75">
      <c r="C12" s="65" t="s">
        <v>267</v>
      </c>
      <c r="D12" s="65" t="s">
        <v>18</v>
      </c>
      <c r="E12" s="115">
        <f>Phoenix!T48</f>
        <v>30</v>
      </c>
      <c r="F12" s="184">
        <f>Phoenix!R45</f>
        <v>18</v>
      </c>
      <c r="G12" s="184">
        <f>Phoenix!S45</f>
        <v>0</v>
      </c>
      <c r="H12" s="184">
        <f>Phoenix!T45</f>
        <v>12</v>
      </c>
      <c r="I12" s="124">
        <f>Phoenix!I26</f>
        <v>133</v>
      </c>
      <c r="J12" s="123">
        <f>Phoenix!J26</f>
        <v>107</v>
      </c>
      <c r="K12" s="116">
        <f>Phoenix!L26</f>
        <v>26</v>
      </c>
      <c r="L12" s="138">
        <f>Phoenix!K26</f>
        <v>36</v>
      </c>
      <c r="M12" s="115">
        <f>Phoenix!N24</f>
        <v>38613</v>
      </c>
      <c r="N12" s="118">
        <f>Phoenix!N50</f>
        <v>2581.3333333333335</v>
      </c>
      <c r="O12" s="124">
        <f>Phoenix!M48</f>
        <v>77440</v>
      </c>
    </row>
    <row r="13" spans="3:15" ht="16.5" thickBot="1">
      <c r="C13" s="244" t="s">
        <v>268</v>
      </c>
      <c r="D13" s="244" t="s">
        <v>217</v>
      </c>
      <c r="E13" s="56">
        <f>GLB!S48</f>
        <v>30</v>
      </c>
      <c r="F13" s="245">
        <f>GLB!Q45</f>
        <v>16</v>
      </c>
      <c r="G13" s="246">
        <f>GLB!R45</f>
        <v>0</v>
      </c>
      <c r="H13" s="247">
        <f>GLB!S45</f>
        <v>14</v>
      </c>
      <c r="I13" s="248">
        <f>GLB!I26</f>
        <v>117</v>
      </c>
      <c r="J13" s="249">
        <f>GLB!K26</f>
        <v>123</v>
      </c>
      <c r="K13" s="250">
        <f>GLB!M26</f>
        <v>-6</v>
      </c>
      <c r="L13" s="251">
        <f>GLB!L26</f>
        <v>32</v>
      </c>
      <c r="M13" s="252">
        <f>GLB!M24</f>
        <v>38188</v>
      </c>
      <c r="N13" s="253">
        <f>GLB!M50</f>
        <v>2553.9666666666667</v>
      </c>
      <c r="O13" s="248">
        <f>GLB!L48</f>
        <v>76619</v>
      </c>
    </row>
    <row r="14" spans="3:15" ht="15.75">
      <c r="C14" s="131" t="s">
        <v>269</v>
      </c>
      <c r="D14" s="131" t="s">
        <v>20</v>
      </c>
      <c r="E14" s="131">
        <f>Szefo!T48</f>
        <v>30</v>
      </c>
      <c r="F14" s="255">
        <f>Szefo!R45</f>
        <v>15</v>
      </c>
      <c r="G14" s="255">
        <f>Szefo!S45</f>
        <v>1</v>
      </c>
      <c r="H14" s="255">
        <f>Szefo!T45</f>
        <v>14</v>
      </c>
      <c r="I14" s="143">
        <f>Szefo!J26</f>
        <v>125</v>
      </c>
      <c r="J14" s="256">
        <f>Szefo!K26</f>
        <v>115</v>
      </c>
      <c r="K14" s="257">
        <f>Szefo!M26</f>
        <v>10</v>
      </c>
      <c r="L14" s="258">
        <f>Szefo!L26</f>
        <v>31</v>
      </c>
      <c r="M14" s="259">
        <f>Szefo!N24</f>
        <v>38208</v>
      </c>
      <c r="N14" s="260">
        <f>Szefo!N50</f>
        <v>2557.866666666667</v>
      </c>
      <c r="O14" s="143">
        <f>Szefo!M48</f>
        <v>76736</v>
      </c>
    </row>
    <row r="15" spans="3:15" ht="15.75">
      <c r="C15" s="65">
        <v>10</v>
      </c>
      <c r="D15" s="65" t="s">
        <v>21</v>
      </c>
      <c r="E15" s="65">
        <f>'Dél Akku'!T48</f>
        <v>30</v>
      </c>
      <c r="F15" s="66">
        <f>'Dél Akku'!R45</f>
        <v>13</v>
      </c>
      <c r="G15" s="66">
        <f>'Dél Akku'!S45</f>
        <v>0</v>
      </c>
      <c r="H15" s="66">
        <f>'Dél Akku'!T45</f>
        <v>17</v>
      </c>
      <c r="I15" s="124">
        <f>'Dél Akku'!I26</f>
        <v>125</v>
      </c>
      <c r="J15" s="123">
        <f>'Dél Akku'!J26</f>
        <v>115</v>
      </c>
      <c r="K15" s="116">
        <f>'Dél Akku'!L26</f>
        <v>10</v>
      </c>
      <c r="L15" s="138">
        <f>'Dél Akku'!K26</f>
        <v>26</v>
      </c>
      <c r="M15" s="115">
        <f>'Dél Akku'!N24</f>
        <v>38264</v>
      </c>
      <c r="N15" s="118">
        <f>'Dél Akku'!N50</f>
        <v>2550.0666666666666</v>
      </c>
      <c r="O15" s="124">
        <f>'Dél Akku'!M48</f>
        <v>76502</v>
      </c>
    </row>
    <row r="16" spans="3:15" ht="15.75">
      <c r="C16" s="65">
        <v>11</v>
      </c>
      <c r="D16" s="65" t="s">
        <v>19</v>
      </c>
      <c r="E16" s="65">
        <f>'Anro ker'!U48</f>
        <v>30</v>
      </c>
      <c r="F16" s="66">
        <f>'Anro ker'!S45</f>
        <v>12</v>
      </c>
      <c r="G16" s="66">
        <f>'Anro ker'!T45</f>
        <v>1</v>
      </c>
      <c r="H16" s="66">
        <f>'Anro ker'!U45</f>
        <v>17</v>
      </c>
      <c r="I16" s="124">
        <f>'Anro ker'!I26</f>
        <v>117</v>
      </c>
      <c r="J16" s="123">
        <f>'Anro ker'!J26</f>
        <v>123</v>
      </c>
      <c r="K16" s="116">
        <f>'Anro ker'!L26</f>
        <v>-6</v>
      </c>
      <c r="L16" s="138">
        <f>'Anro ker'!K26</f>
        <v>25</v>
      </c>
      <c r="M16" s="115">
        <f>'Anro ker'!O24</f>
        <v>37364</v>
      </c>
      <c r="N16" s="118">
        <f>'Anro ker'!O50</f>
        <v>2512.3333333333335</v>
      </c>
      <c r="O16" s="124">
        <f>'Anro ker'!N48</f>
        <v>75370</v>
      </c>
    </row>
    <row r="17" spans="3:15" ht="16.5" thickBot="1">
      <c r="C17" s="127">
        <v>12</v>
      </c>
      <c r="D17" s="127" t="s">
        <v>223</v>
      </c>
      <c r="E17" s="127">
        <f>'Fa-Team'!S48</f>
        <v>30</v>
      </c>
      <c r="F17" s="132">
        <f>'Fa-Team'!Q45</f>
        <v>12</v>
      </c>
      <c r="G17" s="132">
        <f>'Fa-Team'!R45</f>
        <v>0</v>
      </c>
      <c r="H17" s="132">
        <f>'Fa-Team'!S45</f>
        <v>18</v>
      </c>
      <c r="I17" s="125">
        <f>'Fa-Team'!I26</f>
        <v>109</v>
      </c>
      <c r="J17" s="126">
        <f>'Fa-Team'!J26</f>
        <v>131</v>
      </c>
      <c r="K17" s="120">
        <f>'Fa-Team'!L26</f>
        <v>-22</v>
      </c>
      <c r="L17" s="139">
        <f>'Fa-Team'!K26</f>
        <v>24</v>
      </c>
      <c r="M17" s="142">
        <f>'Fa-Team'!M24</f>
        <v>37925</v>
      </c>
      <c r="N17" s="119">
        <f>'Fa-Team'!M50</f>
        <v>2522.366666666667</v>
      </c>
      <c r="O17" s="125">
        <f>'Fa-Team'!L48</f>
        <v>75671</v>
      </c>
    </row>
    <row r="18" spans="3:15" ht="15.75">
      <c r="C18" s="64">
        <v>13</v>
      </c>
      <c r="D18" s="64" t="s">
        <v>214</v>
      </c>
      <c r="E18" s="254">
        <f>'Temesvári Hús'!T48</f>
        <v>30</v>
      </c>
      <c r="F18" s="63">
        <f>'Temesvári Hús'!R45</f>
        <v>11</v>
      </c>
      <c r="G18" s="63">
        <f>'Temesvári Hús'!S45</f>
        <v>1</v>
      </c>
      <c r="H18" s="63">
        <f>'Temesvári Hús'!T45</f>
        <v>18</v>
      </c>
      <c r="I18" s="99">
        <f>'Temesvári Hús'!J26</f>
        <v>108</v>
      </c>
      <c r="J18" s="243">
        <f>'Temesvári Hús'!K26</f>
        <v>132</v>
      </c>
      <c r="K18" s="134">
        <f>'Temesvári Hús'!M26</f>
        <v>-24</v>
      </c>
      <c r="L18" s="137">
        <f>'Temesvári Hús'!L26</f>
        <v>23</v>
      </c>
      <c r="M18" s="141">
        <f>'Temesvári Hús'!N24</f>
        <v>37743</v>
      </c>
      <c r="N18" s="135">
        <f>'Temesvári Hús'!N50</f>
        <v>2506.8</v>
      </c>
      <c r="O18" s="99">
        <f>'Temesvári Hús'!M48</f>
        <v>75204</v>
      </c>
    </row>
    <row r="19" spans="3:15" ht="15.75">
      <c r="C19" s="65">
        <v>14</v>
      </c>
      <c r="D19" s="65" t="s">
        <v>218</v>
      </c>
      <c r="E19" s="65">
        <f>Euroteke!AA48</f>
        <v>30</v>
      </c>
      <c r="F19" s="63">
        <f>Euroteke!Y45</f>
        <v>7</v>
      </c>
      <c r="G19" s="63">
        <f>Euroteke!Z45</f>
        <v>0</v>
      </c>
      <c r="H19" s="63">
        <f>Euroteke!AA45</f>
        <v>23</v>
      </c>
      <c r="I19" s="124">
        <f>Euroteke!L26</f>
        <v>83</v>
      </c>
      <c r="J19" s="123">
        <f>Euroteke!M26</f>
        <v>157</v>
      </c>
      <c r="K19" s="116">
        <f>Euroteke!O26</f>
        <v>-74</v>
      </c>
      <c r="L19" s="138">
        <f>Euroteke!N26</f>
        <v>14</v>
      </c>
      <c r="M19" s="115">
        <f>Euroteke!U24</f>
        <v>35274</v>
      </c>
      <c r="N19" s="118">
        <f>Euroteke!U50</f>
        <v>2339.3</v>
      </c>
      <c r="O19" s="124">
        <f>Euroteke!T48</f>
        <v>70179</v>
      </c>
    </row>
    <row r="20" spans="3:15" ht="15.75">
      <c r="C20" s="65" t="s">
        <v>270</v>
      </c>
      <c r="D20" s="65" t="s">
        <v>204</v>
      </c>
      <c r="E20" s="65">
        <f>Démász!V48</f>
        <v>30</v>
      </c>
      <c r="F20" s="66">
        <f>Démász!T45</f>
        <v>6</v>
      </c>
      <c r="G20" s="66">
        <f>Démász!U45</f>
        <v>1</v>
      </c>
      <c r="H20" s="66">
        <f>Démász!V45</f>
        <v>23</v>
      </c>
      <c r="I20" s="124">
        <f>Démász!L26</f>
        <v>86</v>
      </c>
      <c r="J20" s="123">
        <f>Démász!M26</f>
        <v>154</v>
      </c>
      <c r="K20" s="116">
        <f>Démász!O26</f>
        <v>-68</v>
      </c>
      <c r="L20" s="138">
        <f>Démász!N26</f>
        <v>13</v>
      </c>
      <c r="M20" s="115">
        <f>Démász!P24</f>
        <v>37024</v>
      </c>
      <c r="N20" s="118">
        <f>Démász!P50</f>
        <v>2461.266666666667</v>
      </c>
      <c r="O20" s="124">
        <f>Démász!O48</f>
        <v>73838</v>
      </c>
    </row>
    <row r="21" spans="3:15" ht="16.5" thickBot="1">
      <c r="C21" s="127" t="s">
        <v>271</v>
      </c>
      <c r="D21" s="127" t="s">
        <v>22</v>
      </c>
      <c r="E21" s="127">
        <f>Postás!T48</f>
        <v>30</v>
      </c>
      <c r="F21" s="132">
        <f>Postás!R45</f>
        <v>1</v>
      </c>
      <c r="G21" s="132">
        <f>Postás!S45</f>
        <v>0</v>
      </c>
      <c r="H21" s="132">
        <f>Postás!T45</f>
        <v>29</v>
      </c>
      <c r="I21" s="125">
        <f>Postás!I26</f>
        <v>53</v>
      </c>
      <c r="J21" s="126">
        <f>Postás!J26</f>
        <v>187</v>
      </c>
      <c r="K21" s="120">
        <f>Postás!L26</f>
        <v>-134</v>
      </c>
      <c r="L21" s="139">
        <f>Postás!K26</f>
        <v>2</v>
      </c>
      <c r="M21" s="142">
        <f>Postás!N24</f>
        <v>35957</v>
      </c>
      <c r="N21" s="119">
        <f>Postás!N50</f>
        <v>2387.8</v>
      </c>
      <c r="O21" s="125">
        <f>Postás!M48</f>
        <v>71634</v>
      </c>
    </row>
    <row r="22" ht="15.75">
      <c r="C22" s="56"/>
    </row>
    <row r="25" ht="12.75">
      <c r="D25" t="s">
        <v>261</v>
      </c>
    </row>
    <row r="26" ht="12.75">
      <c r="D26" t="s">
        <v>262</v>
      </c>
    </row>
  </sheetData>
  <sheetProtection/>
  <mergeCells count="2">
    <mergeCell ref="C3:N3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0"/>
  <sheetViews>
    <sheetView zoomScale="90" zoomScaleNormal="90" zoomScalePageLayoutView="0" workbookViewId="0" topLeftCell="B25">
      <selection activeCell="H44" sqref="H44"/>
    </sheetView>
  </sheetViews>
  <sheetFormatPr defaultColWidth="9.00390625" defaultRowHeight="12.75"/>
  <cols>
    <col min="1" max="1" width="11.25390625" style="1" bestFit="1" customWidth="1"/>
    <col min="2" max="2" width="17.625" style="1" bestFit="1" customWidth="1"/>
    <col min="3" max="3" width="12.00390625" style="1" customWidth="1"/>
    <col min="4" max="4" width="10.75390625" style="1" customWidth="1"/>
    <col min="5" max="11" width="9.125" style="1" customWidth="1"/>
    <col min="12" max="12" width="15.75390625" style="1" bestFit="1" customWidth="1"/>
    <col min="13" max="13" width="11.25390625" style="1" customWidth="1"/>
    <col min="14" max="14" width="17.125" style="1" customWidth="1"/>
    <col min="15" max="15" width="13.375" style="1" bestFit="1" customWidth="1"/>
    <col min="16" max="16" width="12.00390625" style="1" customWidth="1"/>
    <col min="17" max="17" width="13.375" style="1" customWidth="1"/>
    <col min="18" max="18" width="11.875" style="1" customWidth="1"/>
    <col min="19" max="19" width="13.00390625" style="0" customWidth="1"/>
    <col min="20" max="20" width="11.75390625" style="0" customWidth="1"/>
    <col min="21" max="21" width="10.375" style="0" customWidth="1"/>
  </cols>
  <sheetData>
    <row r="1" spans="3:21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O1" s="265" t="s">
        <v>28</v>
      </c>
      <c r="P1" s="265"/>
      <c r="S1" s="2"/>
      <c r="T1" s="2"/>
      <c r="U1" s="2"/>
    </row>
    <row r="2" spans="2:19" ht="32.25" thickBot="1">
      <c r="B2" s="3" t="s">
        <v>25</v>
      </c>
      <c r="C2" s="9" t="s">
        <v>175</v>
      </c>
      <c r="D2" s="9" t="s">
        <v>51</v>
      </c>
      <c r="E2" s="9" t="s">
        <v>52</v>
      </c>
      <c r="F2" s="9" t="s">
        <v>53</v>
      </c>
      <c r="G2" s="9" t="s">
        <v>176</v>
      </c>
      <c r="H2" s="9" t="s">
        <v>177</v>
      </c>
      <c r="I2" s="9" t="s">
        <v>196</v>
      </c>
      <c r="J2" s="9" t="s">
        <v>258</v>
      </c>
      <c r="K2" s="9"/>
      <c r="L2" s="3" t="s">
        <v>30</v>
      </c>
      <c r="M2" s="3" t="s">
        <v>17</v>
      </c>
      <c r="N2" s="3" t="s">
        <v>29</v>
      </c>
      <c r="O2" s="3" t="s">
        <v>31</v>
      </c>
      <c r="P2" s="11" t="s">
        <v>116</v>
      </c>
      <c r="Q2" s="2" t="s">
        <v>191</v>
      </c>
      <c r="R2" s="2" t="s">
        <v>192</v>
      </c>
      <c r="S2" s="2" t="s">
        <v>193</v>
      </c>
    </row>
    <row r="3" spans="1:19" s="34" customFormat="1" ht="15.75">
      <c r="A3" s="29" t="s">
        <v>0</v>
      </c>
      <c r="B3" s="29" t="s">
        <v>15</v>
      </c>
      <c r="C3" s="48">
        <v>429</v>
      </c>
      <c r="D3" s="93">
        <v>437</v>
      </c>
      <c r="E3" s="48">
        <v>430</v>
      </c>
      <c r="F3" s="48"/>
      <c r="G3" s="93">
        <v>453</v>
      </c>
      <c r="H3" s="48">
        <v>394</v>
      </c>
      <c r="I3" s="93">
        <v>451</v>
      </c>
      <c r="J3" s="207"/>
      <c r="K3" s="44"/>
      <c r="L3" s="32">
        <f aca="true" t="shared" si="0" ref="L3:L17">SUM(C3:J3)</f>
        <v>2594</v>
      </c>
      <c r="M3" s="29">
        <v>5</v>
      </c>
      <c r="N3" s="29">
        <v>3</v>
      </c>
      <c r="O3" s="29">
        <v>15</v>
      </c>
      <c r="P3" s="29">
        <v>2</v>
      </c>
      <c r="Q3" s="110">
        <v>1</v>
      </c>
      <c r="R3" s="110"/>
      <c r="S3" s="110"/>
    </row>
    <row r="4" spans="1:19" s="25" customFormat="1" ht="15.75">
      <c r="A4" s="20" t="s">
        <v>1</v>
      </c>
      <c r="B4" s="20" t="s">
        <v>22</v>
      </c>
      <c r="C4" s="47">
        <v>407</v>
      </c>
      <c r="D4" s="92">
        <v>441</v>
      </c>
      <c r="E4" s="92">
        <v>443</v>
      </c>
      <c r="F4" s="92">
        <v>425</v>
      </c>
      <c r="G4" s="47">
        <v>400</v>
      </c>
      <c r="H4" s="47"/>
      <c r="I4" s="92">
        <v>417</v>
      </c>
      <c r="J4" s="49"/>
      <c r="K4" s="39"/>
      <c r="L4" s="23">
        <f t="shared" si="0"/>
        <v>2533</v>
      </c>
      <c r="M4" s="20">
        <v>6</v>
      </c>
      <c r="N4" s="20">
        <v>2</v>
      </c>
      <c r="O4" s="23">
        <f>L4-2415</f>
        <v>118</v>
      </c>
      <c r="P4" s="20">
        <v>2</v>
      </c>
      <c r="Q4" s="109">
        <v>1</v>
      </c>
      <c r="R4" s="109"/>
      <c r="S4" s="109"/>
    </row>
    <row r="5" spans="1:19" s="34" customFormat="1" ht="15.75">
      <c r="A5" s="29" t="s">
        <v>2</v>
      </c>
      <c r="B5" s="35" t="s">
        <v>220</v>
      </c>
      <c r="C5" s="93">
        <v>462</v>
      </c>
      <c r="D5" s="48">
        <v>427</v>
      </c>
      <c r="E5" s="93">
        <v>450</v>
      </c>
      <c r="F5" s="48">
        <v>426</v>
      </c>
      <c r="G5" s="48"/>
      <c r="H5" s="93">
        <v>433</v>
      </c>
      <c r="I5" s="93">
        <v>431</v>
      </c>
      <c r="J5" s="52"/>
      <c r="K5" s="44"/>
      <c r="L5" s="32">
        <f t="shared" si="0"/>
        <v>2629</v>
      </c>
      <c r="M5" s="29">
        <v>6</v>
      </c>
      <c r="N5" s="29">
        <v>2</v>
      </c>
      <c r="O5" s="32">
        <f>L5-2542</f>
        <v>87</v>
      </c>
      <c r="P5" s="29">
        <v>2</v>
      </c>
      <c r="Q5" s="110">
        <v>1</v>
      </c>
      <c r="R5" s="110"/>
      <c r="S5" s="110"/>
    </row>
    <row r="6" spans="1:19" s="25" customFormat="1" ht="15.75">
      <c r="A6" s="20" t="s">
        <v>3</v>
      </c>
      <c r="B6" s="20" t="s">
        <v>16</v>
      </c>
      <c r="C6" s="49"/>
      <c r="D6" s="47">
        <v>410</v>
      </c>
      <c r="E6" s="92">
        <v>453</v>
      </c>
      <c r="F6" s="100">
        <v>444</v>
      </c>
      <c r="G6" s="100">
        <v>439</v>
      </c>
      <c r="H6" s="49">
        <v>417</v>
      </c>
      <c r="I6" s="49">
        <v>396</v>
      </c>
      <c r="J6" s="49"/>
      <c r="K6" s="39"/>
      <c r="L6" s="23">
        <f t="shared" si="0"/>
        <v>2559</v>
      </c>
      <c r="M6" s="20">
        <v>5</v>
      </c>
      <c r="N6" s="20">
        <v>3</v>
      </c>
      <c r="O6" s="20">
        <v>29</v>
      </c>
      <c r="P6" s="20">
        <v>2</v>
      </c>
      <c r="Q6" s="109">
        <v>1</v>
      </c>
      <c r="R6" s="109"/>
      <c r="S6" s="109"/>
    </row>
    <row r="7" spans="1:19" s="34" customFormat="1" ht="15.75">
      <c r="A7" s="29" t="s">
        <v>4</v>
      </c>
      <c r="B7" s="29" t="s">
        <v>18</v>
      </c>
      <c r="C7" s="48"/>
      <c r="D7" s="93">
        <v>432</v>
      </c>
      <c r="E7" s="48">
        <v>424</v>
      </c>
      <c r="F7" s="48">
        <v>418</v>
      </c>
      <c r="G7" s="48">
        <v>424</v>
      </c>
      <c r="H7" s="93">
        <v>433</v>
      </c>
      <c r="I7" s="93">
        <v>429</v>
      </c>
      <c r="J7" s="52"/>
      <c r="K7" s="44"/>
      <c r="L7" s="32">
        <f t="shared" si="0"/>
        <v>2560</v>
      </c>
      <c r="M7" s="29">
        <v>3</v>
      </c>
      <c r="N7" s="29">
        <v>5</v>
      </c>
      <c r="O7" s="29">
        <v>-49</v>
      </c>
      <c r="P7" s="29">
        <v>0</v>
      </c>
      <c r="Q7" s="110"/>
      <c r="R7" s="110"/>
      <c r="S7" s="110">
        <v>1</v>
      </c>
    </row>
    <row r="8" spans="1:19" s="25" customFormat="1" ht="15.75">
      <c r="A8" s="20" t="s">
        <v>5</v>
      </c>
      <c r="B8" s="20" t="s">
        <v>20</v>
      </c>
      <c r="C8" s="92">
        <v>455</v>
      </c>
      <c r="D8" s="47">
        <v>443</v>
      </c>
      <c r="E8" s="92">
        <v>456</v>
      </c>
      <c r="F8" s="92">
        <v>475</v>
      </c>
      <c r="G8" s="47"/>
      <c r="H8" s="47">
        <v>422</v>
      </c>
      <c r="I8" s="47">
        <v>429</v>
      </c>
      <c r="J8" s="49"/>
      <c r="K8" s="39"/>
      <c r="L8" s="23">
        <f t="shared" si="0"/>
        <v>2680</v>
      </c>
      <c r="M8" s="20">
        <v>5</v>
      </c>
      <c r="N8" s="20">
        <v>3</v>
      </c>
      <c r="O8" s="20">
        <v>30</v>
      </c>
      <c r="P8" s="20">
        <v>2</v>
      </c>
      <c r="Q8" s="109">
        <v>1</v>
      </c>
      <c r="R8" s="109"/>
      <c r="S8" s="109"/>
    </row>
    <row r="9" spans="1:19" s="34" customFormat="1" ht="15.75">
      <c r="A9" s="29" t="s">
        <v>6</v>
      </c>
      <c r="B9" s="29" t="s">
        <v>24</v>
      </c>
      <c r="C9" s="93">
        <v>438</v>
      </c>
      <c r="D9" s="48">
        <v>211</v>
      </c>
      <c r="E9" s="93">
        <v>426</v>
      </c>
      <c r="F9" s="48">
        <v>158</v>
      </c>
      <c r="G9" s="48">
        <v>415</v>
      </c>
      <c r="H9" s="48">
        <v>415</v>
      </c>
      <c r="I9" s="48">
        <v>423</v>
      </c>
      <c r="J9" s="52"/>
      <c r="K9" s="44"/>
      <c r="L9" s="32">
        <f t="shared" si="0"/>
        <v>2486</v>
      </c>
      <c r="M9" s="29">
        <v>2</v>
      </c>
      <c r="N9" s="29">
        <v>6</v>
      </c>
      <c r="O9" s="32">
        <f>L9-2584</f>
        <v>-98</v>
      </c>
      <c r="P9" s="29">
        <v>0</v>
      </c>
      <c r="Q9" s="110"/>
      <c r="R9" s="110"/>
      <c r="S9" s="110">
        <v>1</v>
      </c>
    </row>
    <row r="10" spans="1:19" s="25" customFormat="1" ht="15.75">
      <c r="A10" s="20" t="s">
        <v>7</v>
      </c>
      <c r="B10" s="20" t="s">
        <v>21</v>
      </c>
      <c r="C10" s="47">
        <v>418</v>
      </c>
      <c r="D10" s="47">
        <v>423</v>
      </c>
      <c r="E10" s="47">
        <v>419</v>
      </c>
      <c r="F10" s="47"/>
      <c r="G10" s="47">
        <v>391</v>
      </c>
      <c r="H10" s="92">
        <v>438</v>
      </c>
      <c r="I10" s="47">
        <v>416</v>
      </c>
      <c r="J10" s="49"/>
      <c r="K10" s="39"/>
      <c r="L10" s="23">
        <f t="shared" si="0"/>
        <v>2505</v>
      </c>
      <c r="M10" s="20">
        <v>1</v>
      </c>
      <c r="N10" s="20">
        <v>7</v>
      </c>
      <c r="O10" s="23">
        <v>-116</v>
      </c>
      <c r="P10" s="20">
        <v>0</v>
      </c>
      <c r="Q10" s="109"/>
      <c r="R10" s="109"/>
      <c r="S10" s="109">
        <v>1</v>
      </c>
    </row>
    <row r="11" spans="1:19" s="34" customFormat="1" ht="15.75">
      <c r="A11" s="29" t="s">
        <v>8</v>
      </c>
      <c r="B11" s="29" t="s">
        <v>19</v>
      </c>
      <c r="C11" s="48">
        <v>399</v>
      </c>
      <c r="D11" s="48">
        <v>389</v>
      </c>
      <c r="E11" s="93">
        <v>456</v>
      </c>
      <c r="F11" s="93">
        <v>446</v>
      </c>
      <c r="G11" s="48"/>
      <c r="H11" s="93">
        <v>422</v>
      </c>
      <c r="I11" s="93">
        <v>445</v>
      </c>
      <c r="J11" s="52"/>
      <c r="K11" s="44"/>
      <c r="L11" s="32">
        <f t="shared" si="0"/>
        <v>2557</v>
      </c>
      <c r="M11" s="29">
        <v>6</v>
      </c>
      <c r="N11" s="29">
        <v>2</v>
      </c>
      <c r="O11" s="32">
        <f>L11-2434</f>
        <v>123</v>
      </c>
      <c r="P11" s="29">
        <v>2</v>
      </c>
      <c r="Q11" s="110">
        <v>1</v>
      </c>
      <c r="R11" s="110"/>
      <c r="S11" s="110"/>
    </row>
    <row r="12" spans="1:19" s="25" customFormat="1" ht="15.75">
      <c r="A12" s="20" t="s">
        <v>9</v>
      </c>
      <c r="B12" s="20" t="s">
        <v>214</v>
      </c>
      <c r="C12" s="47"/>
      <c r="D12" s="92">
        <v>437</v>
      </c>
      <c r="E12" s="92">
        <v>445</v>
      </c>
      <c r="F12" s="47">
        <v>373</v>
      </c>
      <c r="G12" s="47">
        <v>415</v>
      </c>
      <c r="H12" s="92">
        <v>441</v>
      </c>
      <c r="I12" s="92">
        <v>436</v>
      </c>
      <c r="J12" s="49"/>
      <c r="K12" s="39"/>
      <c r="L12" s="23">
        <f t="shared" si="0"/>
        <v>2547</v>
      </c>
      <c r="M12" s="20">
        <v>4</v>
      </c>
      <c r="N12" s="20">
        <v>4</v>
      </c>
      <c r="O12" s="20">
        <v>-34</v>
      </c>
      <c r="P12" s="20">
        <v>1</v>
      </c>
      <c r="Q12" s="109"/>
      <c r="R12" s="109">
        <v>1</v>
      </c>
      <c r="S12" s="109"/>
    </row>
    <row r="13" spans="1:19" s="34" customFormat="1" ht="15.75">
      <c r="A13" s="29" t="s">
        <v>10</v>
      </c>
      <c r="B13" s="29" t="s">
        <v>204</v>
      </c>
      <c r="C13" s="48"/>
      <c r="D13" s="93">
        <v>399</v>
      </c>
      <c r="E13" s="48">
        <v>395</v>
      </c>
      <c r="F13" s="48"/>
      <c r="G13" s="93">
        <v>423</v>
      </c>
      <c r="H13" s="93">
        <v>433</v>
      </c>
      <c r="I13" s="93">
        <v>430</v>
      </c>
      <c r="J13" s="97">
        <v>435</v>
      </c>
      <c r="K13" s="44"/>
      <c r="L13" s="32">
        <f t="shared" si="0"/>
        <v>2515</v>
      </c>
      <c r="M13" s="29">
        <v>7</v>
      </c>
      <c r="N13" s="29">
        <v>1</v>
      </c>
      <c r="O13" s="29">
        <v>197</v>
      </c>
      <c r="P13" s="29">
        <v>2</v>
      </c>
      <c r="Q13" s="110">
        <v>1</v>
      </c>
      <c r="R13" s="110"/>
      <c r="S13" s="110"/>
    </row>
    <row r="14" spans="1:19" s="25" customFormat="1" ht="15.75">
      <c r="A14" s="20" t="s">
        <v>11</v>
      </c>
      <c r="B14" s="20" t="s">
        <v>217</v>
      </c>
      <c r="C14" s="47">
        <v>420</v>
      </c>
      <c r="D14" s="92">
        <v>447</v>
      </c>
      <c r="E14" s="92">
        <v>465</v>
      </c>
      <c r="F14" s="47"/>
      <c r="G14" s="92">
        <v>445</v>
      </c>
      <c r="H14" s="92">
        <v>441</v>
      </c>
      <c r="I14" s="92">
        <v>456</v>
      </c>
      <c r="J14" s="49"/>
      <c r="K14" s="39"/>
      <c r="L14" s="23">
        <f t="shared" si="0"/>
        <v>2674</v>
      </c>
      <c r="M14" s="20">
        <v>7</v>
      </c>
      <c r="N14" s="20">
        <v>1</v>
      </c>
      <c r="O14" s="23">
        <v>127</v>
      </c>
      <c r="P14" s="20">
        <v>2</v>
      </c>
      <c r="Q14" s="109">
        <v>1</v>
      </c>
      <c r="R14" s="109"/>
      <c r="S14" s="109"/>
    </row>
    <row r="15" spans="1:19" s="34" customFormat="1" ht="15.75">
      <c r="A15" s="29" t="s">
        <v>12</v>
      </c>
      <c r="B15" s="29" t="s">
        <v>23</v>
      </c>
      <c r="C15" s="48">
        <v>424</v>
      </c>
      <c r="D15" s="93">
        <v>471</v>
      </c>
      <c r="E15" s="48">
        <v>439</v>
      </c>
      <c r="F15" s="93">
        <v>465</v>
      </c>
      <c r="G15" s="93">
        <v>458</v>
      </c>
      <c r="H15" s="48"/>
      <c r="I15" s="48">
        <v>427</v>
      </c>
      <c r="J15" s="52"/>
      <c r="K15" s="44"/>
      <c r="L15" s="32">
        <f t="shared" si="0"/>
        <v>2684</v>
      </c>
      <c r="M15" s="29">
        <v>3</v>
      </c>
      <c r="N15" s="29">
        <v>5</v>
      </c>
      <c r="O15" s="32">
        <v>-24</v>
      </c>
      <c r="P15" s="29">
        <v>0</v>
      </c>
      <c r="Q15" s="110"/>
      <c r="R15" s="110"/>
      <c r="S15" s="110">
        <v>1</v>
      </c>
    </row>
    <row r="16" spans="1:19" s="25" customFormat="1" ht="15.75">
      <c r="A16" s="20" t="s">
        <v>13</v>
      </c>
      <c r="B16" s="21" t="s">
        <v>218</v>
      </c>
      <c r="C16" s="47"/>
      <c r="D16" s="92">
        <v>433</v>
      </c>
      <c r="E16" s="47">
        <v>393</v>
      </c>
      <c r="F16" s="47">
        <v>407</v>
      </c>
      <c r="G16" s="92">
        <v>435</v>
      </c>
      <c r="H16" s="92">
        <v>460</v>
      </c>
      <c r="I16" s="92">
        <v>450</v>
      </c>
      <c r="J16" s="49"/>
      <c r="K16" s="39"/>
      <c r="L16" s="23">
        <f t="shared" si="0"/>
        <v>2578</v>
      </c>
      <c r="M16" s="20">
        <v>6</v>
      </c>
      <c r="N16" s="20">
        <v>2</v>
      </c>
      <c r="O16" s="23">
        <f>L16-2452</f>
        <v>126</v>
      </c>
      <c r="P16" s="20">
        <v>2</v>
      </c>
      <c r="Q16" s="109">
        <v>1</v>
      </c>
      <c r="R16" s="109"/>
      <c r="S16" s="109"/>
    </row>
    <row r="17" spans="1:19" s="34" customFormat="1" ht="16.5" thickBot="1">
      <c r="A17" s="29" t="s">
        <v>14</v>
      </c>
      <c r="B17" s="188" t="s">
        <v>26</v>
      </c>
      <c r="C17" s="170">
        <v>443</v>
      </c>
      <c r="D17" s="50">
        <v>421</v>
      </c>
      <c r="E17" s="170">
        <v>450</v>
      </c>
      <c r="F17" s="50">
        <v>394</v>
      </c>
      <c r="G17" s="50"/>
      <c r="H17" s="50">
        <v>435</v>
      </c>
      <c r="I17" s="50">
        <v>406</v>
      </c>
      <c r="J17" s="50"/>
      <c r="K17" s="41"/>
      <c r="L17" s="46">
        <f t="shared" si="0"/>
        <v>2549</v>
      </c>
      <c r="M17" s="43">
        <v>2</v>
      </c>
      <c r="N17" s="43">
        <v>6</v>
      </c>
      <c r="O17" s="46">
        <f>L17-2646</f>
        <v>-97</v>
      </c>
      <c r="P17" s="43">
        <v>0</v>
      </c>
      <c r="Q17" s="111"/>
      <c r="R17" s="111"/>
      <c r="S17" s="111">
        <v>1</v>
      </c>
    </row>
    <row r="18" spans="3:19" ht="16.5" thickTop="1">
      <c r="C18" s="6">
        <f aca="true" t="shared" si="1" ref="C18:J18">SUM(C3:C17)</f>
        <v>4295</v>
      </c>
      <c r="D18" s="6">
        <f>SUM(D3:D8)+SUM(D10:D17)</f>
        <v>6010</v>
      </c>
      <c r="E18" s="6">
        <f t="shared" si="1"/>
        <v>6544</v>
      </c>
      <c r="F18" s="6">
        <f>SUM(F3:F8)+SUM(F10:F17)</f>
        <v>4273</v>
      </c>
      <c r="G18" s="6">
        <f t="shared" si="1"/>
        <v>4698</v>
      </c>
      <c r="H18" s="6">
        <f t="shared" si="1"/>
        <v>5584</v>
      </c>
      <c r="I18" s="6">
        <f t="shared" si="1"/>
        <v>6442</v>
      </c>
      <c r="J18" s="6">
        <f t="shared" si="1"/>
        <v>435</v>
      </c>
      <c r="K18" s="6"/>
      <c r="Q18" s="112">
        <f>SUM(Q3:Q17)</f>
        <v>9</v>
      </c>
      <c r="R18" s="112">
        <f>SUM(R3:R17)</f>
        <v>1</v>
      </c>
      <c r="S18" s="112">
        <f>SUM(S3:S17)</f>
        <v>5</v>
      </c>
    </row>
    <row r="19" spans="2:18" ht="15.75">
      <c r="B19" s="1" t="s">
        <v>249</v>
      </c>
      <c r="C19" s="6">
        <f>COUNT(C3:C17)</f>
        <v>10</v>
      </c>
      <c r="D19" s="6">
        <f>COUNT(D3:D8)+COUNT(D10:D17)</f>
        <v>14</v>
      </c>
      <c r="E19" s="6">
        <f>COUNT(E3:E17)</f>
        <v>15</v>
      </c>
      <c r="F19" s="6">
        <f>COUNT(F3:F8)+COUNT(F10:F17)</f>
        <v>10</v>
      </c>
      <c r="G19" s="6">
        <f>COUNT(G3:G17)</f>
        <v>11</v>
      </c>
      <c r="H19" s="6">
        <f>COUNT(H3:H17)</f>
        <v>13</v>
      </c>
      <c r="I19" s="6">
        <f>COUNT(I3:I17)</f>
        <v>15</v>
      </c>
      <c r="J19" s="6">
        <f>COUNT(J3:J17)</f>
        <v>1</v>
      </c>
      <c r="K19" s="6"/>
      <c r="Q19"/>
      <c r="R19"/>
    </row>
    <row r="20" spans="2:18" ht="31.5">
      <c r="B20" s="12" t="s">
        <v>129</v>
      </c>
      <c r="C20" s="17">
        <f>AVERAGE(C3:C17)</f>
        <v>429.5</v>
      </c>
      <c r="D20" s="17">
        <f>D18/D19</f>
        <v>429.2857142857143</v>
      </c>
      <c r="E20" s="17">
        <f>AVERAGE(E3:E17)</f>
        <v>436.26666666666665</v>
      </c>
      <c r="F20" s="17">
        <f>F18/F19</f>
        <v>427.3</v>
      </c>
      <c r="G20" s="17">
        <f>AVERAGE(G3:G17)</f>
        <v>427.09090909090907</v>
      </c>
      <c r="H20" s="17">
        <f>AVERAGE(H3:H17)</f>
        <v>429.53846153846155</v>
      </c>
      <c r="I20" s="17">
        <f>AVERAGE(I3:I17)</f>
        <v>429.46666666666664</v>
      </c>
      <c r="J20" s="17">
        <f>AVERAGE(J3:J17)</f>
        <v>435</v>
      </c>
      <c r="K20" s="17"/>
      <c r="L20" s="3" t="s">
        <v>30</v>
      </c>
      <c r="M20" s="265" t="s">
        <v>117</v>
      </c>
      <c r="N20" s="265"/>
      <c r="O20" s="3" t="s">
        <v>31</v>
      </c>
      <c r="P20" s="11" t="s">
        <v>118</v>
      </c>
      <c r="Q20" s="105" t="s">
        <v>128</v>
      </c>
      <c r="R20" s="105" t="s">
        <v>247</v>
      </c>
    </row>
    <row r="21" spans="12:18" ht="15.75">
      <c r="L21" s="6">
        <f>SUM(L3:L17)</f>
        <v>38650</v>
      </c>
      <c r="M21" s="1">
        <f>SUM(M3:M17)</f>
        <v>68</v>
      </c>
      <c r="N21" s="1">
        <f>SUM(N3:N17)</f>
        <v>52</v>
      </c>
      <c r="O21" s="1">
        <f>SUM(O3:O17)</f>
        <v>434</v>
      </c>
      <c r="P21" s="1">
        <f>SUM(P3:P17)</f>
        <v>19</v>
      </c>
      <c r="Q21" s="108">
        <f>M21-N21</f>
        <v>16</v>
      </c>
      <c r="R21" s="71">
        <f>SUM(Q18:S18)</f>
        <v>15</v>
      </c>
    </row>
    <row r="22" spans="3:4" ht="15.75">
      <c r="C22" s="270" t="s">
        <v>40</v>
      </c>
      <c r="D22" s="270"/>
    </row>
    <row r="23" spans="3:15" ht="15.75">
      <c r="C23" s="268" t="s">
        <v>134</v>
      </c>
      <c r="D23" s="268"/>
      <c r="N23" s="1" t="s">
        <v>130</v>
      </c>
      <c r="O23" s="19">
        <f>L21/R21</f>
        <v>2576.6666666666665</v>
      </c>
    </row>
    <row r="24" spans="3:15" ht="15.75">
      <c r="C24" s="269" t="s">
        <v>135</v>
      </c>
      <c r="D24" s="269"/>
      <c r="N24" s="1" t="s">
        <v>260</v>
      </c>
      <c r="O24" s="6">
        <f>L3+L5+L7+L9+L11+L13+L15+L17+L30+L32+L34+L36+L38+L40+L43</f>
        <v>38531</v>
      </c>
    </row>
    <row r="25" spans="12:16" ht="15.75">
      <c r="L25" s="267" t="s">
        <v>154</v>
      </c>
      <c r="M25" s="267"/>
      <c r="N25" s="1" t="s">
        <v>155</v>
      </c>
      <c r="O25" s="271" t="s">
        <v>128</v>
      </c>
      <c r="P25" s="271"/>
    </row>
    <row r="26" spans="2:16" ht="15.75">
      <c r="B26" s="73" t="s">
        <v>144</v>
      </c>
      <c r="C26" s="74"/>
      <c r="D26" s="74" t="s">
        <v>147</v>
      </c>
      <c r="E26" s="74" t="s">
        <v>142</v>
      </c>
      <c r="F26" s="266" t="s">
        <v>143</v>
      </c>
      <c r="G26" s="266"/>
      <c r="H26" s="59"/>
      <c r="L26" s="1">
        <f>M21+M45</f>
        <v>137</v>
      </c>
      <c r="M26" s="1">
        <f>N21+N45</f>
        <v>103</v>
      </c>
      <c r="N26" s="1">
        <f>P21+P45</f>
        <v>39</v>
      </c>
      <c r="O26" s="267">
        <f>L26-M26</f>
        <v>34</v>
      </c>
      <c r="P26" s="267"/>
    </row>
    <row r="29" spans="2:19" ht="32.25" thickBot="1">
      <c r="B29" s="3" t="s">
        <v>25</v>
      </c>
      <c r="C29" s="9" t="s">
        <v>175</v>
      </c>
      <c r="D29" s="9" t="s">
        <v>51</v>
      </c>
      <c r="E29" s="9" t="s">
        <v>52</v>
      </c>
      <c r="F29" s="9" t="s">
        <v>53</v>
      </c>
      <c r="G29" s="9" t="s">
        <v>176</v>
      </c>
      <c r="H29" s="9" t="s">
        <v>177</v>
      </c>
      <c r="I29" s="9" t="s">
        <v>196</v>
      </c>
      <c r="J29" s="9" t="s">
        <v>258</v>
      </c>
      <c r="K29" s="230" t="s">
        <v>286</v>
      </c>
      <c r="L29" s="3" t="s">
        <v>30</v>
      </c>
      <c r="M29" s="3" t="s">
        <v>17</v>
      </c>
      <c r="N29" s="3" t="s">
        <v>29</v>
      </c>
      <c r="O29" s="3" t="s">
        <v>31</v>
      </c>
      <c r="P29" s="11" t="s">
        <v>116</v>
      </c>
      <c r="Q29" s="2" t="s">
        <v>191</v>
      </c>
      <c r="R29" s="2" t="s">
        <v>192</v>
      </c>
      <c r="S29" s="2" t="s">
        <v>193</v>
      </c>
    </row>
    <row r="30" spans="1:19" s="158" customFormat="1" ht="15.75">
      <c r="A30" s="154" t="s">
        <v>221</v>
      </c>
      <c r="B30" s="154" t="s">
        <v>217</v>
      </c>
      <c r="C30" s="181">
        <v>442</v>
      </c>
      <c r="D30" s="163">
        <v>416</v>
      </c>
      <c r="E30" s="163">
        <v>426</v>
      </c>
      <c r="F30" s="163"/>
      <c r="G30" s="163">
        <v>406</v>
      </c>
      <c r="H30" s="181">
        <v>450</v>
      </c>
      <c r="I30" s="181">
        <v>429</v>
      </c>
      <c r="J30" s="163"/>
      <c r="K30" s="163"/>
      <c r="L30" s="154">
        <f aca="true" t="shared" si="2" ref="L30:L36">SUM(C30:J30)</f>
        <v>2569</v>
      </c>
      <c r="M30" s="154">
        <v>3</v>
      </c>
      <c r="N30" s="154">
        <v>5</v>
      </c>
      <c r="O30" s="154">
        <v>-3</v>
      </c>
      <c r="P30" s="154">
        <v>0</v>
      </c>
      <c r="S30" s="158">
        <v>1</v>
      </c>
    </row>
    <row r="31" spans="1:17" s="148" customFormat="1" ht="15.75">
      <c r="A31" s="144" t="s">
        <v>222</v>
      </c>
      <c r="B31" s="144" t="s">
        <v>204</v>
      </c>
      <c r="C31" s="182">
        <v>426</v>
      </c>
      <c r="D31" s="182">
        <v>449</v>
      </c>
      <c r="E31" s="182">
        <v>445</v>
      </c>
      <c r="F31" s="165"/>
      <c r="G31" s="182">
        <v>433</v>
      </c>
      <c r="H31" s="165">
        <v>401</v>
      </c>
      <c r="I31" s="182">
        <v>452</v>
      </c>
      <c r="J31" s="165"/>
      <c r="K31" s="165"/>
      <c r="L31" s="144">
        <f t="shared" si="2"/>
        <v>2606</v>
      </c>
      <c r="M31" s="144">
        <v>7</v>
      </c>
      <c r="N31" s="144">
        <v>1</v>
      </c>
      <c r="O31" s="144">
        <v>192</v>
      </c>
      <c r="P31" s="144">
        <v>2</v>
      </c>
      <c r="Q31" s="148">
        <v>1</v>
      </c>
    </row>
    <row r="32" spans="1:17" s="158" customFormat="1" ht="15.75">
      <c r="A32" s="154" t="s">
        <v>156</v>
      </c>
      <c r="B32" s="154" t="s">
        <v>214</v>
      </c>
      <c r="C32" s="181">
        <v>440</v>
      </c>
      <c r="D32" s="163">
        <v>419</v>
      </c>
      <c r="E32" s="163">
        <v>426</v>
      </c>
      <c r="F32" s="181">
        <v>463</v>
      </c>
      <c r="G32" s="163">
        <v>411</v>
      </c>
      <c r="H32" s="181">
        <v>448</v>
      </c>
      <c r="I32" s="163"/>
      <c r="J32" s="163"/>
      <c r="K32" s="163"/>
      <c r="L32" s="154">
        <f t="shared" si="2"/>
        <v>2607</v>
      </c>
      <c r="M32" s="154">
        <v>5</v>
      </c>
      <c r="N32" s="154">
        <v>3</v>
      </c>
      <c r="O32" s="154">
        <f>L32-2418</f>
        <v>189</v>
      </c>
      <c r="P32" s="154">
        <v>2</v>
      </c>
      <c r="Q32" s="158">
        <v>1</v>
      </c>
    </row>
    <row r="33" spans="1:17" s="148" customFormat="1" ht="15.75">
      <c r="A33" s="144" t="s">
        <v>157</v>
      </c>
      <c r="B33" s="144" t="s">
        <v>19</v>
      </c>
      <c r="C33" s="182">
        <v>452</v>
      </c>
      <c r="D33" s="182">
        <v>488</v>
      </c>
      <c r="E33" s="182">
        <v>459</v>
      </c>
      <c r="F33" s="165"/>
      <c r="G33" s="165">
        <v>434</v>
      </c>
      <c r="H33" s="165">
        <v>434</v>
      </c>
      <c r="I33" s="165">
        <v>409</v>
      </c>
      <c r="J33" s="165"/>
      <c r="K33" s="165"/>
      <c r="L33" s="144">
        <f t="shared" si="2"/>
        <v>2676</v>
      </c>
      <c r="M33" s="144">
        <v>5</v>
      </c>
      <c r="N33" s="144">
        <v>3</v>
      </c>
      <c r="O33" s="144">
        <f>L33-2511</f>
        <v>165</v>
      </c>
      <c r="P33" s="144">
        <v>2</v>
      </c>
      <c r="Q33" s="148">
        <v>1</v>
      </c>
    </row>
    <row r="34" spans="1:17" s="158" customFormat="1" ht="15.75">
      <c r="A34" s="154" t="s">
        <v>158</v>
      </c>
      <c r="B34" s="154" t="s">
        <v>21</v>
      </c>
      <c r="C34" s="169"/>
      <c r="D34" s="163">
        <v>418</v>
      </c>
      <c r="E34" s="181">
        <v>466</v>
      </c>
      <c r="F34" s="181">
        <v>439</v>
      </c>
      <c r="G34" s="181">
        <v>463</v>
      </c>
      <c r="H34" s="205">
        <v>415</v>
      </c>
      <c r="I34" s="163">
        <v>430</v>
      </c>
      <c r="K34" s="48"/>
      <c r="L34" s="154">
        <f t="shared" si="2"/>
        <v>2631</v>
      </c>
      <c r="M34" s="154">
        <v>5</v>
      </c>
      <c r="N34" s="154">
        <v>3</v>
      </c>
      <c r="O34" s="154">
        <f>L34-2575</f>
        <v>56</v>
      </c>
      <c r="P34" s="154">
        <v>2</v>
      </c>
      <c r="Q34" s="158">
        <v>1</v>
      </c>
    </row>
    <row r="35" spans="1:18" s="148" customFormat="1" ht="15.75">
      <c r="A35" s="144" t="s">
        <v>159</v>
      </c>
      <c r="B35" s="149" t="s">
        <v>24</v>
      </c>
      <c r="C35" s="166"/>
      <c r="D35" s="182">
        <v>433</v>
      </c>
      <c r="E35" s="165">
        <v>390</v>
      </c>
      <c r="F35" s="182">
        <v>435</v>
      </c>
      <c r="G35" s="165">
        <v>373</v>
      </c>
      <c r="H35" s="165"/>
      <c r="I35" s="182">
        <v>423</v>
      </c>
      <c r="K35" s="182">
        <v>455</v>
      </c>
      <c r="L35" s="144">
        <f>SUM(C35:K35)</f>
        <v>2509</v>
      </c>
      <c r="M35" s="144">
        <v>4</v>
      </c>
      <c r="N35" s="144">
        <v>4</v>
      </c>
      <c r="O35" s="144">
        <v>-11</v>
      </c>
      <c r="P35" s="144">
        <v>1</v>
      </c>
      <c r="R35" s="148">
        <v>1</v>
      </c>
    </row>
    <row r="36" spans="1:18" s="158" customFormat="1" ht="15.75">
      <c r="A36" s="154" t="s">
        <v>160</v>
      </c>
      <c r="B36" s="154" t="s">
        <v>20</v>
      </c>
      <c r="C36" s="169"/>
      <c r="D36" s="206">
        <v>476</v>
      </c>
      <c r="E36" s="205">
        <v>428</v>
      </c>
      <c r="F36" s="205">
        <v>375</v>
      </c>
      <c r="G36" s="206">
        <v>460</v>
      </c>
      <c r="H36" s="205">
        <v>434</v>
      </c>
      <c r="I36" s="205">
        <v>426</v>
      </c>
      <c r="J36" s="163"/>
      <c r="K36" s="163"/>
      <c r="L36" s="154">
        <f t="shared" si="2"/>
        <v>2599</v>
      </c>
      <c r="M36" s="154">
        <v>4</v>
      </c>
      <c r="N36" s="154">
        <v>4</v>
      </c>
      <c r="O36" s="154">
        <v>1</v>
      </c>
      <c r="P36" s="154">
        <v>1</v>
      </c>
      <c r="R36" s="158">
        <v>1</v>
      </c>
    </row>
    <row r="37" spans="1:19" s="148" customFormat="1" ht="15.75">
      <c r="A37" s="144" t="s">
        <v>161</v>
      </c>
      <c r="B37" s="144" t="s">
        <v>18</v>
      </c>
      <c r="C37" s="92">
        <v>441</v>
      </c>
      <c r="D37" s="203">
        <v>409</v>
      </c>
      <c r="E37" s="203"/>
      <c r="F37" s="92">
        <v>469</v>
      </c>
      <c r="G37" s="203">
        <v>408</v>
      </c>
      <c r="H37" s="92">
        <v>437</v>
      </c>
      <c r="I37" s="203">
        <v>412</v>
      </c>
      <c r="J37" s="47"/>
      <c r="K37" s="47"/>
      <c r="L37" s="144">
        <f>SUM(B37:J37)</f>
        <v>2576</v>
      </c>
      <c r="M37" s="144">
        <v>3</v>
      </c>
      <c r="N37" s="144">
        <v>5</v>
      </c>
      <c r="O37" s="144">
        <v>-31</v>
      </c>
      <c r="P37" s="144">
        <v>0</v>
      </c>
      <c r="S37" s="148">
        <v>1</v>
      </c>
    </row>
    <row r="38" spans="1:19" s="158" customFormat="1" ht="15.75">
      <c r="A38" s="154" t="s">
        <v>162</v>
      </c>
      <c r="B38" s="154" t="s">
        <v>16</v>
      </c>
      <c r="C38" s="169">
        <v>399</v>
      </c>
      <c r="D38" s="163">
        <v>422</v>
      </c>
      <c r="E38" s="163">
        <v>398</v>
      </c>
      <c r="F38" s="163"/>
      <c r="G38" s="181">
        <v>451</v>
      </c>
      <c r="H38" s="163">
        <v>428</v>
      </c>
      <c r="I38" s="163">
        <v>438</v>
      </c>
      <c r="J38" s="163"/>
      <c r="K38" s="163"/>
      <c r="L38" s="154">
        <f aca="true" t="shared" si="3" ref="L38:L44">SUM(C38:J38)</f>
        <v>2536</v>
      </c>
      <c r="M38" s="154">
        <v>1</v>
      </c>
      <c r="N38" s="154">
        <v>7</v>
      </c>
      <c r="O38" s="154">
        <v>-137</v>
      </c>
      <c r="P38" s="154">
        <v>0</v>
      </c>
      <c r="S38" s="158">
        <v>1</v>
      </c>
    </row>
    <row r="39" spans="1:17" s="148" customFormat="1" ht="15.75">
      <c r="A39" s="144" t="s">
        <v>163</v>
      </c>
      <c r="B39" s="144" t="s">
        <v>223</v>
      </c>
      <c r="C39" s="166"/>
      <c r="D39" s="225">
        <v>439</v>
      </c>
      <c r="E39" s="165">
        <v>399</v>
      </c>
      <c r="F39" s="182">
        <v>441</v>
      </c>
      <c r="G39" s="165">
        <v>431</v>
      </c>
      <c r="H39" s="182">
        <v>441</v>
      </c>
      <c r="I39" s="182">
        <v>446</v>
      </c>
      <c r="J39" s="165"/>
      <c r="K39" s="165"/>
      <c r="L39" s="144">
        <f t="shared" si="3"/>
        <v>2597</v>
      </c>
      <c r="M39" s="144">
        <v>6</v>
      </c>
      <c r="N39" s="144">
        <v>2</v>
      </c>
      <c r="O39" s="144">
        <f>L39-2541</f>
        <v>56</v>
      </c>
      <c r="P39" s="144">
        <v>2</v>
      </c>
      <c r="Q39" s="148">
        <v>1</v>
      </c>
    </row>
    <row r="40" spans="1:17" s="158" customFormat="1" ht="15.75">
      <c r="A40" s="154" t="s">
        <v>164</v>
      </c>
      <c r="B40" s="154" t="s">
        <v>22</v>
      </c>
      <c r="C40" s="224">
        <v>419</v>
      </c>
      <c r="D40" s="224">
        <v>406</v>
      </c>
      <c r="E40" s="163"/>
      <c r="F40" s="224">
        <v>443</v>
      </c>
      <c r="G40" s="224">
        <v>432</v>
      </c>
      <c r="H40" s="224">
        <v>445</v>
      </c>
      <c r="I40" s="224">
        <v>447</v>
      </c>
      <c r="J40" s="163"/>
      <c r="K40" s="163"/>
      <c r="L40" s="154">
        <f t="shared" si="3"/>
        <v>2592</v>
      </c>
      <c r="M40" s="154">
        <v>8</v>
      </c>
      <c r="N40" s="154">
        <v>0</v>
      </c>
      <c r="O40" s="154">
        <f>L40-2320</f>
        <v>272</v>
      </c>
      <c r="P40" s="154">
        <v>2</v>
      </c>
      <c r="Q40" s="158">
        <v>1</v>
      </c>
    </row>
    <row r="41" spans="1:17" s="148" customFormat="1" ht="15.75">
      <c r="A41" s="144" t="s">
        <v>165</v>
      </c>
      <c r="B41" s="144" t="s">
        <v>15</v>
      </c>
      <c r="C41" s="166">
        <v>438</v>
      </c>
      <c r="D41" s="165"/>
      <c r="E41" s="225">
        <v>457</v>
      </c>
      <c r="F41" s="165">
        <v>440</v>
      </c>
      <c r="G41" s="165"/>
      <c r="H41" s="165">
        <v>402</v>
      </c>
      <c r="I41" s="225">
        <v>444</v>
      </c>
      <c r="J41" s="165"/>
      <c r="K41" s="225">
        <v>469</v>
      </c>
      <c r="L41" s="144">
        <f>SUM(C41:K41)</f>
        <v>2650</v>
      </c>
      <c r="M41" s="144">
        <v>5</v>
      </c>
      <c r="N41" s="144">
        <v>3</v>
      </c>
      <c r="O41" s="144">
        <v>56</v>
      </c>
      <c r="P41" s="144">
        <v>2</v>
      </c>
      <c r="Q41" s="148">
        <v>1</v>
      </c>
    </row>
    <row r="42" spans="1:17" s="148" customFormat="1" ht="15.75">
      <c r="A42" s="144" t="s">
        <v>166</v>
      </c>
      <c r="B42" s="144" t="s">
        <v>26</v>
      </c>
      <c r="C42" s="166">
        <v>437</v>
      </c>
      <c r="D42" s="165"/>
      <c r="E42" s="165">
        <v>422</v>
      </c>
      <c r="F42" s="225">
        <v>465</v>
      </c>
      <c r="G42" s="165">
        <v>438</v>
      </c>
      <c r="H42" s="165"/>
      <c r="I42" s="225">
        <v>463</v>
      </c>
      <c r="J42" s="165"/>
      <c r="K42" s="225">
        <v>455</v>
      </c>
      <c r="L42" s="144">
        <f>SUM(C42:K42)</f>
        <v>2680</v>
      </c>
      <c r="M42" s="144">
        <v>5</v>
      </c>
      <c r="N42" s="144">
        <v>3</v>
      </c>
      <c r="O42" s="144">
        <f>L42-2582</f>
        <v>98</v>
      </c>
      <c r="P42" s="144">
        <v>2</v>
      </c>
      <c r="Q42" s="148">
        <v>1</v>
      </c>
    </row>
    <row r="43" spans="1:19" s="158" customFormat="1" ht="15.75">
      <c r="A43" s="154" t="s">
        <v>167</v>
      </c>
      <c r="B43" s="154" t="s">
        <v>218</v>
      </c>
      <c r="C43" s="224">
        <v>438</v>
      </c>
      <c r="D43" s="163">
        <v>388</v>
      </c>
      <c r="E43" s="163"/>
      <c r="F43" s="163">
        <v>390</v>
      </c>
      <c r="G43" s="163">
        <v>400</v>
      </c>
      <c r="H43" s="163">
        <v>396</v>
      </c>
      <c r="I43" s="224">
        <v>411</v>
      </c>
      <c r="J43" s="163"/>
      <c r="K43" s="163"/>
      <c r="L43" s="154">
        <f t="shared" si="3"/>
        <v>2423</v>
      </c>
      <c r="M43" s="154">
        <v>2</v>
      </c>
      <c r="N43" s="154">
        <v>6</v>
      </c>
      <c r="O43" s="154">
        <v>-9</v>
      </c>
      <c r="P43" s="154">
        <v>0</v>
      </c>
      <c r="S43" s="158">
        <v>1</v>
      </c>
    </row>
    <row r="44" spans="1:19" s="148" customFormat="1" ht="16.5" thickBot="1">
      <c r="A44" s="144" t="s">
        <v>168</v>
      </c>
      <c r="B44" s="144" t="s">
        <v>23</v>
      </c>
      <c r="C44" s="166"/>
      <c r="D44" s="225">
        <v>452</v>
      </c>
      <c r="E44" s="225">
        <v>476</v>
      </c>
      <c r="F44" s="225">
        <v>449</v>
      </c>
      <c r="G44" s="165">
        <v>441</v>
      </c>
      <c r="H44" s="225">
        <v>443</v>
      </c>
      <c r="I44" s="165">
        <v>412</v>
      </c>
      <c r="J44" s="165"/>
      <c r="K44" s="165"/>
      <c r="L44" s="151">
        <f t="shared" si="3"/>
        <v>2673</v>
      </c>
      <c r="M44" s="151">
        <v>6</v>
      </c>
      <c r="N44" s="151">
        <v>2</v>
      </c>
      <c r="O44" s="151">
        <v>111</v>
      </c>
      <c r="P44" s="151">
        <v>2</v>
      </c>
      <c r="Q44" s="180">
        <v>1</v>
      </c>
      <c r="R44" s="180"/>
      <c r="S44" s="180"/>
    </row>
    <row r="45" spans="3:19" ht="16.5" thickTop="1">
      <c r="C45" s="79">
        <f aca="true" t="shared" si="4" ref="C45:K45">SUM(C30:C44)</f>
        <v>4332</v>
      </c>
      <c r="D45" s="79">
        <f t="shared" si="4"/>
        <v>5615</v>
      </c>
      <c r="E45" s="79">
        <f t="shared" si="4"/>
        <v>5192</v>
      </c>
      <c r="F45" s="79">
        <f t="shared" si="4"/>
        <v>4809</v>
      </c>
      <c r="G45" s="79">
        <f t="shared" si="4"/>
        <v>5981</v>
      </c>
      <c r="H45" s="79">
        <f t="shared" si="4"/>
        <v>5574</v>
      </c>
      <c r="I45" s="79">
        <f t="shared" si="4"/>
        <v>6042</v>
      </c>
      <c r="J45" s="79">
        <f t="shared" si="4"/>
        <v>0</v>
      </c>
      <c r="K45" s="79">
        <f t="shared" si="4"/>
        <v>1379</v>
      </c>
      <c r="M45" s="1">
        <f>SUM(M30:M44)</f>
        <v>69</v>
      </c>
      <c r="N45" s="1">
        <f>SUM(N30:N44)</f>
        <v>51</v>
      </c>
      <c r="O45" s="1">
        <f>SUM(O30:O44)</f>
        <v>1005</v>
      </c>
      <c r="P45" s="1">
        <f>SUM(P30:P44)</f>
        <v>20</v>
      </c>
      <c r="Q45" s="1">
        <f>SUM(Q30:Q44)+Q18</f>
        <v>18</v>
      </c>
      <c r="R45" s="1">
        <f>SUM(R30:R44)+R18</f>
        <v>3</v>
      </c>
      <c r="S45" s="1">
        <f>SUM(S30:S44)+S18</f>
        <v>9</v>
      </c>
    </row>
    <row r="46" spans="2:11" ht="15.75">
      <c r="B46" s="83" t="s">
        <v>279</v>
      </c>
      <c r="C46" s="1">
        <f>COUNT(C30:C44)</f>
        <v>10</v>
      </c>
      <c r="D46" s="1">
        <f aca="true" t="shared" si="5" ref="D46:K46">COUNT(D30:D44)</f>
        <v>13</v>
      </c>
      <c r="E46" s="1">
        <f t="shared" si="5"/>
        <v>12</v>
      </c>
      <c r="F46" s="1">
        <f t="shared" si="5"/>
        <v>11</v>
      </c>
      <c r="G46" s="1">
        <f t="shared" si="5"/>
        <v>14</v>
      </c>
      <c r="H46" s="1">
        <f t="shared" si="5"/>
        <v>13</v>
      </c>
      <c r="I46" s="1">
        <f t="shared" si="5"/>
        <v>14</v>
      </c>
      <c r="J46" s="1">
        <f t="shared" si="5"/>
        <v>0</v>
      </c>
      <c r="K46" s="1">
        <f t="shared" si="5"/>
        <v>3</v>
      </c>
    </row>
    <row r="47" spans="2:19" ht="31.5">
      <c r="B47" s="12" t="s">
        <v>275</v>
      </c>
      <c r="C47" s="17">
        <f>C45/C46</f>
        <v>433.2</v>
      </c>
      <c r="D47" s="17">
        <f aca="true" t="shared" si="6" ref="D47:K47">D45/D46</f>
        <v>431.9230769230769</v>
      </c>
      <c r="E47" s="17">
        <f t="shared" si="6"/>
        <v>432.6666666666667</v>
      </c>
      <c r="F47" s="17">
        <f t="shared" si="6"/>
        <v>437.1818181818182</v>
      </c>
      <c r="G47" s="17">
        <f t="shared" si="6"/>
        <v>427.2142857142857</v>
      </c>
      <c r="H47" s="17">
        <f t="shared" si="6"/>
        <v>428.7692307692308</v>
      </c>
      <c r="I47" s="17">
        <f t="shared" si="6"/>
        <v>431.57142857142856</v>
      </c>
      <c r="J47" s="17"/>
      <c r="K47" s="17">
        <f t="shared" si="6"/>
        <v>459.6666666666667</v>
      </c>
      <c r="L47" s="3" t="s">
        <v>30</v>
      </c>
      <c r="M47" s="3" t="s">
        <v>117</v>
      </c>
      <c r="N47" s="3"/>
      <c r="O47" s="3" t="s">
        <v>31</v>
      </c>
      <c r="P47" s="11" t="s">
        <v>118</v>
      </c>
      <c r="Q47"/>
      <c r="R47" s="105" t="s">
        <v>128</v>
      </c>
      <c r="S47" s="105" t="s">
        <v>247</v>
      </c>
    </row>
    <row r="48" spans="11:19" ht="15.75">
      <c r="K48" s="17"/>
      <c r="L48" s="6">
        <f>SUM(L30:L44)+L21</f>
        <v>77574</v>
      </c>
      <c r="M48" s="6">
        <f>SUM(M30:M44)+M21</f>
        <v>137</v>
      </c>
      <c r="N48" s="6">
        <f>SUM(N30:N44)+N21</f>
        <v>103</v>
      </c>
      <c r="O48" s="6">
        <f>SUM(O30:O44)+O21</f>
        <v>1439</v>
      </c>
      <c r="P48" s="6">
        <f>SUM(P30:P44)+P21</f>
        <v>39</v>
      </c>
      <c r="Q48"/>
      <c r="R48" s="2">
        <f>M48-N48</f>
        <v>34</v>
      </c>
      <c r="S48" s="71">
        <f>SUM(Q45:S45)</f>
        <v>30</v>
      </c>
    </row>
    <row r="49" spans="17:18" ht="15.75">
      <c r="Q49"/>
      <c r="R49"/>
    </row>
    <row r="50" spans="14:15" ht="15.75">
      <c r="N50" s="1" t="s">
        <v>130</v>
      </c>
      <c r="O50" s="19">
        <f>L48/S48</f>
        <v>2585.8</v>
      </c>
    </row>
  </sheetData>
  <sheetProtection/>
  <mergeCells count="10">
    <mergeCell ref="C1:M1"/>
    <mergeCell ref="O1:P1"/>
    <mergeCell ref="C22:D22"/>
    <mergeCell ref="M20:N20"/>
    <mergeCell ref="O25:P25"/>
    <mergeCell ref="F26:G26"/>
    <mergeCell ref="O26:P26"/>
    <mergeCell ref="L25:M25"/>
    <mergeCell ref="C24:D24"/>
    <mergeCell ref="C23:D23"/>
  </mergeCells>
  <printOptions/>
  <pageMargins left="0.75" right="0.75" top="1" bottom="1" header="0.5" footer="0.5"/>
  <pageSetup horizontalDpi="600" verticalDpi="600" orientation="portrait" paperSize="9" r:id="rId1"/>
  <ignoredErrors>
    <ignoredError sqref="F18:F20 D18:D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zoomScale="90" zoomScaleNormal="90" zoomScalePageLayoutView="0" workbookViewId="0" topLeftCell="A25">
      <selection activeCell="G44" sqref="G44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3" width="10.625" style="1" customWidth="1"/>
    <col min="4" max="7" width="9.125" style="1" customWidth="1"/>
    <col min="8" max="8" width="9.75390625" style="1" customWidth="1"/>
    <col min="9" max="9" width="9.125" style="1" customWidth="1"/>
    <col min="10" max="10" width="11.25390625" style="1" customWidth="1"/>
    <col min="11" max="11" width="11.00390625" style="1" customWidth="1"/>
    <col min="12" max="12" width="9.125" style="1" customWidth="1"/>
    <col min="13" max="13" width="15.375" style="1" customWidth="1"/>
    <col min="14" max="14" width="11.00390625" style="1" customWidth="1"/>
    <col min="15" max="15" width="10.375" style="1" customWidth="1"/>
    <col min="16" max="16" width="13.375" style="1" customWidth="1"/>
    <col min="17" max="17" width="13.00390625" style="1" customWidth="1"/>
    <col min="18" max="18" width="10.125" style="0" bestFit="1" customWidth="1"/>
    <col min="19" max="19" width="10.375" style="0" customWidth="1"/>
    <col min="20" max="20" width="11.62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N1" s="265" t="s">
        <v>28</v>
      </c>
      <c r="O1" s="265"/>
      <c r="R1" s="2"/>
      <c r="S1" s="2"/>
      <c r="T1" s="2"/>
    </row>
    <row r="2" spans="2:20" ht="32.25" thickBot="1">
      <c r="B2" s="3" t="s">
        <v>25</v>
      </c>
      <c r="C2" s="9" t="s">
        <v>55</v>
      </c>
      <c r="D2" s="9" t="s">
        <v>56</v>
      </c>
      <c r="E2" s="9" t="s">
        <v>57</v>
      </c>
      <c r="F2" s="9" t="s">
        <v>58</v>
      </c>
      <c r="G2" s="9" t="s">
        <v>59</v>
      </c>
      <c r="H2" s="9" t="s">
        <v>60</v>
      </c>
      <c r="I2" s="9" t="s">
        <v>122</v>
      </c>
      <c r="J2" s="9" t="s">
        <v>242</v>
      </c>
      <c r="K2" s="9"/>
      <c r="L2" s="9"/>
      <c r="M2" s="3" t="s">
        <v>30</v>
      </c>
      <c r="N2" s="3" t="s">
        <v>21</v>
      </c>
      <c r="O2" s="3" t="s">
        <v>29</v>
      </c>
      <c r="P2" s="3" t="s">
        <v>31</v>
      </c>
      <c r="Q2" s="11" t="s">
        <v>116</v>
      </c>
      <c r="R2" s="2" t="s">
        <v>191</v>
      </c>
      <c r="S2" s="2" t="s">
        <v>192</v>
      </c>
      <c r="T2" s="2" t="s">
        <v>193</v>
      </c>
    </row>
    <row r="3" spans="1:20" s="25" customFormat="1" ht="15.75">
      <c r="A3" s="20" t="s">
        <v>0</v>
      </c>
      <c r="B3" s="20" t="s">
        <v>26</v>
      </c>
      <c r="C3" s="100">
        <v>465</v>
      </c>
      <c r="D3" s="49">
        <v>426</v>
      </c>
      <c r="E3" s="100">
        <v>447</v>
      </c>
      <c r="F3" s="49">
        <v>408</v>
      </c>
      <c r="G3" s="49">
        <v>411</v>
      </c>
      <c r="H3" s="49"/>
      <c r="I3" s="49">
        <v>404</v>
      </c>
      <c r="J3" s="49"/>
      <c r="K3" s="49"/>
      <c r="L3" s="60"/>
      <c r="M3" s="23">
        <f>SUM(C3:L3)</f>
        <v>2561</v>
      </c>
      <c r="N3" s="20">
        <v>2</v>
      </c>
      <c r="O3" s="20">
        <v>6</v>
      </c>
      <c r="P3" s="20">
        <v>-127</v>
      </c>
      <c r="Q3" s="20">
        <v>0</v>
      </c>
      <c r="R3" s="24"/>
      <c r="S3" s="24"/>
      <c r="T3" s="24">
        <v>1</v>
      </c>
    </row>
    <row r="4" spans="1:20" s="34" customFormat="1" ht="15.75">
      <c r="A4" s="29" t="s">
        <v>1</v>
      </c>
      <c r="B4" s="29" t="s">
        <v>19</v>
      </c>
      <c r="C4" s="97">
        <v>410</v>
      </c>
      <c r="D4" s="48"/>
      <c r="E4" s="48">
        <v>406</v>
      </c>
      <c r="F4" s="97">
        <v>418</v>
      </c>
      <c r="G4" s="97">
        <v>418</v>
      </c>
      <c r="H4" s="52"/>
      <c r="I4" s="52">
        <v>403</v>
      </c>
      <c r="J4" s="97">
        <v>432</v>
      </c>
      <c r="K4" s="52"/>
      <c r="L4" s="44"/>
      <c r="M4" s="32">
        <f aca="true" t="shared" si="0" ref="M4:M17">SUM(C4:L4)</f>
        <v>2487</v>
      </c>
      <c r="N4" s="29">
        <v>6</v>
      </c>
      <c r="O4" s="29">
        <v>2</v>
      </c>
      <c r="P4" s="32">
        <f>M4-2393</f>
        <v>94</v>
      </c>
      <c r="Q4" s="29">
        <v>2</v>
      </c>
      <c r="R4" s="33">
        <v>1</v>
      </c>
      <c r="S4" s="33"/>
      <c r="T4" s="33"/>
    </row>
    <row r="5" spans="1:20" s="25" customFormat="1" ht="15.75">
      <c r="A5" s="20" t="s">
        <v>2</v>
      </c>
      <c r="B5" s="20" t="s">
        <v>214</v>
      </c>
      <c r="C5" s="100">
        <v>438</v>
      </c>
      <c r="D5" s="92">
        <v>442</v>
      </c>
      <c r="E5" s="47">
        <v>431</v>
      </c>
      <c r="F5" s="49">
        <v>385</v>
      </c>
      <c r="G5" s="49">
        <v>432</v>
      </c>
      <c r="H5" s="49"/>
      <c r="I5" s="49"/>
      <c r="J5" s="49">
        <v>380</v>
      </c>
      <c r="K5" s="49"/>
      <c r="L5" s="39"/>
      <c r="M5" s="23">
        <f t="shared" si="0"/>
        <v>2508</v>
      </c>
      <c r="N5" s="20">
        <v>2</v>
      </c>
      <c r="O5" s="20">
        <v>6</v>
      </c>
      <c r="P5" s="20">
        <v>-80</v>
      </c>
      <c r="Q5" s="20">
        <v>0</v>
      </c>
      <c r="R5" s="24"/>
      <c r="S5" s="24"/>
      <c r="T5" s="24">
        <v>1</v>
      </c>
    </row>
    <row r="6" spans="1:20" s="34" customFormat="1" ht="15.75">
      <c r="A6" s="29" t="s">
        <v>3</v>
      </c>
      <c r="B6" s="30" t="s">
        <v>204</v>
      </c>
      <c r="C6" s="97">
        <v>418</v>
      </c>
      <c r="D6" s="93">
        <v>429</v>
      </c>
      <c r="E6" s="93">
        <v>448</v>
      </c>
      <c r="F6" s="52">
        <v>403</v>
      </c>
      <c r="G6" s="52">
        <v>390</v>
      </c>
      <c r="H6" s="52"/>
      <c r="I6" s="52">
        <v>191</v>
      </c>
      <c r="J6" s="52">
        <v>207</v>
      </c>
      <c r="K6" s="52"/>
      <c r="L6" s="44"/>
      <c r="M6" s="32">
        <f t="shared" si="0"/>
        <v>2486</v>
      </c>
      <c r="N6" s="29">
        <v>5</v>
      </c>
      <c r="O6" s="29">
        <v>3</v>
      </c>
      <c r="P6" s="29">
        <v>55</v>
      </c>
      <c r="Q6" s="29">
        <v>2</v>
      </c>
      <c r="R6" s="33">
        <v>1</v>
      </c>
      <c r="S6" s="33"/>
      <c r="T6" s="33"/>
    </row>
    <row r="7" spans="1:20" s="25" customFormat="1" ht="15.75">
      <c r="A7" s="20" t="s">
        <v>4</v>
      </c>
      <c r="B7" s="20" t="s">
        <v>217</v>
      </c>
      <c r="C7" s="100">
        <v>472</v>
      </c>
      <c r="D7" s="47">
        <v>417</v>
      </c>
      <c r="E7" s="92">
        <v>459</v>
      </c>
      <c r="F7" s="100">
        <v>440</v>
      </c>
      <c r="G7" s="49"/>
      <c r="H7" s="49"/>
      <c r="I7" s="49">
        <v>419</v>
      </c>
      <c r="J7" s="100">
        <v>447</v>
      </c>
      <c r="K7" s="49"/>
      <c r="L7" s="39"/>
      <c r="M7" s="23">
        <f t="shared" si="0"/>
        <v>2654</v>
      </c>
      <c r="N7" s="20">
        <v>6</v>
      </c>
      <c r="O7" s="20">
        <v>2</v>
      </c>
      <c r="P7" s="20">
        <v>78</v>
      </c>
      <c r="Q7" s="20">
        <v>2</v>
      </c>
      <c r="R7" s="24">
        <v>1</v>
      </c>
      <c r="S7" s="24"/>
      <c r="T7" s="24"/>
    </row>
    <row r="8" spans="1:20" s="34" customFormat="1" ht="15.75">
      <c r="A8" s="29" t="s">
        <v>5</v>
      </c>
      <c r="B8" s="29" t="s">
        <v>23</v>
      </c>
      <c r="C8" s="48">
        <v>411</v>
      </c>
      <c r="D8" s="48"/>
      <c r="E8" s="93">
        <v>443</v>
      </c>
      <c r="F8" s="52">
        <v>412</v>
      </c>
      <c r="G8" s="97">
        <v>437</v>
      </c>
      <c r="H8" s="52"/>
      <c r="I8" s="97">
        <v>464</v>
      </c>
      <c r="J8" s="97">
        <v>423</v>
      </c>
      <c r="K8" s="52"/>
      <c r="L8" s="44"/>
      <c r="M8" s="32">
        <f t="shared" si="0"/>
        <v>2590</v>
      </c>
      <c r="N8" s="29">
        <v>6</v>
      </c>
      <c r="O8" s="29">
        <v>2</v>
      </c>
      <c r="P8" s="32">
        <f>M8-2492</f>
        <v>98</v>
      </c>
      <c r="Q8" s="29">
        <v>2</v>
      </c>
      <c r="R8" s="33">
        <v>1</v>
      </c>
      <c r="S8" s="33"/>
      <c r="T8" s="33"/>
    </row>
    <row r="9" spans="1:20" s="25" customFormat="1" ht="15.75">
      <c r="A9" s="20" t="s">
        <v>6</v>
      </c>
      <c r="B9" s="20" t="s">
        <v>218</v>
      </c>
      <c r="C9" s="49"/>
      <c r="D9" s="92">
        <v>433</v>
      </c>
      <c r="E9" s="92">
        <v>425</v>
      </c>
      <c r="F9" s="100">
        <v>420</v>
      </c>
      <c r="G9" s="100">
        <v>443</v>
      </c>
      <c r="H9" s="49"/>
      <c r="I9" s="49">
        <v>393</v>
      </c>
      <c r="J9" s="100">
        <v>437</v>
      </c>
      <c r="K9" s="49"/>
      <c r="L9" s="39"/>
      <c r="M9" s="23">
        <f t="shared" si="0"/>
        <v>2551</v>
      </c>
      <c r="N9" s="20">
        <v>7</v>
      </c>
      <c r="O9" s="20">
        <v>1</v>
      </c>
      <c r="P9" s="23">
        <f>M9-2321</f>
        <v>230</v>
      </c>
      <c r="Q9" s="20">
        <v>2</v>
      </c>
      <c r="R9" s="24">
        <v>1</v>
      </c>
      <c r="S9" s="24"/>
      <c r="T9" s="24"/>
    </row>
    <row r="10" spans="1:20" s="34" customFormat="1" ht="15.75">
      <c r="A10" s="29" t="s">
        <v>7</v>
      </c>
      <c r="B10" s="29" t="s">
        <v>17</v>
      </c>
      <c r="C10" s="93">
        <v>455</v>
      </c>
      <c r="D10" s="93">
        <v>430</v>
      </c>
      <c r="E10" s="93">
        <v>445</v>
      </c>
      <c r="F10" s="97">
        <v>442</v>
      </c>
      <c r="G10" s="52">
        <v>413</v>
      </c>
      <c r="H10" s="52"/>
      <c r="I10" s="52"/>
      <c r="J10" s="97">
        <v>436</v>
      </c>
      <c r="K10" s="52"/>
      <c r="L10" s="44"/>
      <c r="M10" s="32">
        <f t="shared" si="0"/>
        <v>2621</v>
      </c>
      <c r="N10" s="29">
        <v>7</v>
      </c>
      <c r="O10" s="29">
        <v>1</v>
      </c>
      <c r="P10" s="32">
        <f>M10-2505</f>
        <v>116</v>
      </c>
      <c r="Q10" s="29">
        <v>2</v>
      </c>
      <c r="R10" s="33">
        <v>1</v>
      </c>
      <c r="S10" s="33"/>
      <c r="T10" s="33"/>
    </row>
    <row r="11" spans="1:20" s="25" customFormat="1" ht="15.75">
      <c r="A11" s="20" t="s">
        <v>8</v>
      </c>
      <c r="B11" s="20" t="s">
        <v>15</v>
      </c>
      <c r="C11" s="47">
        <v>423</v>
      </c>
      <c r="D11" s="47">
        <v>400</v>
      </c>
      <c r="E11" s="92">
        <v>456</v>
      </c>
      <c r="F11" s="47">
        <v>384</v>
      </c>
      <c r="G11" s="47">
        <v>410</v>
      </c>
      <c r="H11" s="47"/>
      <c r="I11" s="47"/>
      <c r="J11" s="100">
        <v>448</v>
      </c>
      <c r="K11" s="49"/>
      <c r="L11" s="39"/>
      <c r="M11" s="23">
        <f t="shared" si="0"/>
        <v>2521</v>
      </c>
      <c r="N11" s="20">
        <v>2</v>
      </c>
      <c r="O11" s="20">
        <v>6</v>
      </c>
      <c r="P11" s="23">
        <v>-63</v>
      </c>
      <c r="Q11" s="20">
        <v>0</v>
      </c>
      <c r="R11" s="24"/>
      <c r="S11" s="24"/>
      <c r="T11" s="24">
        <v>1</v>
      </c>
    </row>
    <row r="12" spans="1:20" s="34" customFormat="1" ht="15.75">
      <c r="A12" s="29" t="s">
        <v>9</v>
      </c>
      <c r="B12" s="29" t="s">
        <v>22</v>
      </c>
      <c r="C12" s="93">
        <v>423</v>
      </c>
      <c r="D12" s="93">
        <v>422</v>
      </c>
      <c r="E12" s="93">
        <v>426</v>
      </c>
      <c r="F12" s="97">
        <v>454</v>
      </c>
      <c r="G12" s="52">
        <v>192</v>
      </c>
      <c r="H12" s="52">
        <v>199</v>
      </c>
      <c r="I12" s="52"/>
      <c r="J12" s="97">
        <v>429</v>
      </c>
      <c r="K12" s="52"/>
      <c r="L12" s="44"/>
      <c r="M12" s="32">
        <f t="shared" si="0"/>
        <v>2545</v>
      </c>
      <c r="N12" s="29">
        <v>7</v>
      </c>
      <c r="O12" s="29">
        <v>1</v>
      </c>
      <c r="P12" s="32">
        <f>M12-2380</f>
        <v>165</v>
      </c>
      <c r="Q12" s="29">
        <v>2</v>
      </c>
      <c r="R12" s="33">
        <v>1</v>
      </c>
      <c r="S12" s="33"/>
      <c r="T12" s="33"/>
    </row>
    <row r="13" spans="1:20" s="25" customFormat="1" ht="15.75">
      <c r="A13" s="20" t="s">
        <v>10</v>
      </c>
      <c r="B13" s="20" t="s">
        <v>223</v>
      </c>
      <c r="C13" s="49"/>
      <c r="D13" s="92">
        <v>429</v>
      </c>
      <c r="E13" s="92">
        <v>459</v>
      </c>
      <c r="F13" s="49">
        <v>416</v>
      </c>
      <c r="G13" s="49">
        <v>393</v>
      </c>
      <c r="H13" s="49">
        <v>406</v>
      </c>
      <c r="I13" s="49"/>
      <c r="J13" s="49">
        <v>403</v>
      </c>
      <c r="K13" s="49"/>
      <c r="L13" s="39"/>
      <c r="M13" s="23">
        <f t="shared" si="0"/>
        <v>2506</v>
      </c>
      <c r="N13" s="20">
        <v>2</v>
      </c>
      <c r="O13" s="20">
        <v>6</v>
      </c>
      <c r="P13" s="23">
        <f>M13-2541</f>
        <v>-35</v>
      </c>
      <c r="Q13" s="20">
        <v>0</v>
      </c>
      <c r="R13" s="24"/>
      <c r="S13" s="24"/>
      <c r="T13" s="24">
        <v>1</v>
      </c>
    </row>
    <row r="14" spans="1:20" s="34" customFormat="1" ht="15.75">
      <c r="A14" s="29" t="s">
        <v>11</v>
      </c>
      <c r="B14" s="29" t="s">
        <v>16</v>
      </c>
      <c r="C14" s="93">
        <v>448</v>
      </c>
      <c r="D14" s="93">
        <v>456</v>
      </c>
      <c r="E14" s="93">
        <v>444</v>
      </c>
      <c r="F14" s="52">
        <v>444</v>
      </c>
      <c r="G14" s="52">
        <v>389</v>
      </c>
      <c r="H14" s="52"/>
      <c r="I14" s="52"/>
      <c r="J14" s="52">
        <v>415</v>
      </c>
      <c r="K14" s="52"/>
      <c r="L14" s="44"/>
      <c r="M14" s="32">
        <f t="shared" si="0"/>
        <v>2596</v>
      </c>
      <c r="N14" s="29">
        <v>3</v>
      </c>
      <c r="O14" s="29">
        <v>5</v>
      </c>
      <c r="P14" s="29">
        <v>-38</v>
      </c>
      <c r="Q14" s="29">
        <v>0</v>
      </c>
      <c r="R14" s="33"/>
      <c r="S14" s="33"/>
      <c r="T14" s="33">
        <v>1</v>
      </c>
    </row>
    <row r="15" spans="1:20" s="25" customFormat="1" ht="15.75">
      <c r="A15" s="20" t="s">
        <v>12</v>
      </c>
      <c r="B15" s="20" t="s">
        <v>18</v>
      </c>
      <c r="C15" s="49">
        <v>407</v>
      </c>
      <c r="D15" s="47">
        <v>434</v>
      </c>
      <c r="E15" s="92">
        <v>469</v>
      </c>
      <c r="F15" s="100">
        <v>474</v>
      </c>
      <c r="G15" s="100">
        <v>436</v>
      </c>
      <c r="H15" s="49"/>
      <c r="I15" s="49"/>
      <c r="J15" s="100">
        <v>445</v>
      </c>
      <c r="K15" s="49"/>
      <c r="L15" s="39"/>
      <c r="M15" s="23">
        <f t="shared" si="0"/>
        <v>2665</v>
      </c>
      <c r="N15" s="20">
        <v>6</v>
      </c>
      <c r="O15" s="20">
        <v>2</v>
      </c>
      <c r="P15" s="23">
        <f>M15-2634</f>
        <v>31</v>
      </c>
      <c r="Q15" s="20">
        <v>2</v>
      </c>
      <c r="R15" s="24">
        <v>1</v>
      </c>
      <c r="S15" s="24"/>
      <c r="T15" s="24"/>
    </row>
    <row r="16" spans="1:20" s="34" customFormat="1" ht="15.75">
      <c r="A16" s="29" t="s">
        <v>13</v>
      </c>
      <c r="B16" s="29" t="s">
        <v>20</v>
      </c>
      <c r="C16" s="97">
        <v>430</v>
      </c>
      <c r="D16" s="93">
        <v>437</v>
      </c>
      <c r="E16" s="93">
        <v>431</v>
      </c>
      <c r="F16" s="52">
        <v>417</v>
      </c>
      <c r="G16" s="52">
        <v>425</v>
      </c>
      <c r="H16" s="52"/>
      <c r="I16" s="52"/>
      <c r="J16" s="52">
        <v>430</v>
      </c>
      <c r="K16" s="52"/>
      <c r="L16" s="44"/>
      <c r="M16" s="32">
        <f t="shared" si="0"/>
        <v>2570</v>
      </c>
      <c r="N16" s="29">
        <v>3</v>
      </c>
      <c r="O16" s="29">
        <v>5</v>
      </c>
      <c r="P16" s="32">
        <v>-50</v>
      </c>
      <c r="Q16" s="29">
        <v>0</v>
      </c>
      <c r="R16" s="33"/>
      <c r="S16" s="33"/>
      <c r="T16" s="33">
        <v>1</v>
      </c>
    </row>
    <row r="17" spans="1:20" s="25" customFormat="1" ht="16.5" thickBot="1">
      <c r="A17" s="20" t="s">
        <v>14</v>
      </c>
      <c r="B17" s="20" t="s">
        <v>24</v>
      </c>
      <c r="C17" s="53">
        <v>403</v>
      </c>
      <c r="D17" s="173">
        <v>413</v>
      </c>
      <c r="E17" s="173">
        <v>464</v>
      </c>
      <c r="F17" s="53">
        <v>400</v>
      </c>
      <c r="G17" s="53">
        <v>401</v>
      </c>
      <c r="H17" s="53"/>
      <c r="I17" s="53"/>
      <c r="J17" s="53">
        <v>400</v>
      </c>
      <c r="K17" s="53"/>
      <c r="L17" s="54"/>
      <c r="M17" s="55">
        <f t="shared" si="0"/>
        <v>2481</v>
      </c>
      <c r="N17" s="28">
        <v>2</v>
      </c>
      <c r="O17" s="28">
        <v>6</v>
      </c>
      <c r="P17" s="27">
        <f>M17-2517</f>
        <v>-36</v>
      </c>
      <c r="Q17" s="28">
        <v>0</v>
      </c>
      <c r="R17" s="113"/>
      <c r="S17" s="113"/>
      <c r="T17" s="113">
        <v>1</v>
      </c>
    </row>
    <row r="18" spans="3:20" ht="16.5" thickTop="1">
      <c r="C18" s="6">
        <f aca="true" t="shared" si="1" ref="C18:L18">SUM(C3:C17)</f>
        <v>5603</v>
      </c>
      <c r="D18" s="6">
        <f t="shared" si="1"/>
        <v>5568</v>
      </c>
      <c r="E18" s="6">
        <f t="shared" si="1"/>
        <v>6653</v>
      </c>
      <c r="F18" s="6">
        <f t="shared" si="1"/>
        <v>6317</v>
      </c>
      <c r="G18" s="6">
        <f>SUM(G3:G11)+SUM(G13:G17)</f>
        <v>5398</v>
      </c>
      <c r="H18" s="6">
        <f>H13</f>
        <v>406</v>
      </c>
      <c r="I18" s="6">
        <f>SUM(I3:I4)+SUM(I7:I17)</f>
        <v>2083</v>
      </c>
      <c r="J18" s="6">
        <f>SUM(J3:J5)+SUM(J7:J17)</f>
        <v>5525</v>
      </c>
      <c r="K18" s="6">
        <f t="shared" si="1"/>
        <v>0</v>
      </c>
      <c r="L18" s="8">
        <f t="shared" si="1"/>
        <v>0</v>
      </c>
      <c r="R18" s="2">
        <f>SUM(R3:R17)</f>
        <v>8</v>
      </c>
      <c r="S18" s="2">
        <f>SUM(S3:S17)</f>
        <v>0</v>
      </c>
      <c r="T18" s="2">
        <f>SUM(T3:T17)</f>
        <v>7</v>
      </c>
    </row>
    <row r="19" spans="2:12" ht="15.75">
      <c r="B19" s="1" t="s">
        <v>249</v>
      </c>
      <c r="C19" s="6">
        <f>COUNT(C3:C17)</f>
        <v>13</v>
      </c>
      <c r="D19" s="6">
        <f>COUNT(D3:D17)</f>
        <v>13</v>
      </c>
      <c r="E19" s="6">
        <f>COUNT(E3:E17)</f>
        <v>15</v>
      </c>
      <c r="F19" s="6">
        <f>COUNT(F3:F17)</f>
        <v>15</v>
      </c>
      <c r="G19" s="6">
        <f>COUNT(G3:G11)+COUNT(G13:G17)</f>
        <v>13</v>
      </c>
      <c r="H19" s="6">
        <f>COUNT(H13)</f>
        <v>1</v>
      </c>
      <c r="I19" s="6">
        <f>COUNT(I3:I4)+COUNT(I7:I17)</f>
        <v>5</v>
      </c>
      <c r="J19" s="6">
        <f>COUNT(J3:J5)+COUNT(J7:J17)</f>
        <v>13</v>
      </c>
      <c r="K19" s="6"/>
      <c r="L19" s="7"/>
    </row>
    <row r="20" spans="2:20" ht="31.5">
      <c r="B20" s="12" t="s">
        <v>129</v>
      </c>
      <c r="C20" s="17">
        <f>AVERAGE(C3:C17)</f>
        <v>431</v>
      </c>
      <c r="D20" s="17">
        <f>AVERAGE(D3:D17)</f>
        <v>428.3076923076923</v>
      </c>
      <c r="E20" s="17">
        <f>AVERAGE(E3:E17)</f>
        <v>443.53333333333336</v>
      </c>
      <c r="F20" s="17">
        <f>AVERAGE(F3:F17)</f>
        <v>421.1333333333333</v>
      </c>
      <c r="G20" s="17">
        <f>G18/G19</f>
        <v>415.2307692307692</v>
      </c>
      <c r="H20" s="17">
        <f>H18/H19</f>
        <v>406</v>
      </c>
      <c r="I20" s="17">
        <f>I18/I19</f>
        <v>416.6</v>
      </c>
      <c r="J20" s="17">
        <f>J18/J19</f>
        <v>425</v>
      </c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S20" s="105" t="s">
        <v>128</v>
      </c>
      <c r="T20" s="105" t="s">
        <v>247</v>
      </c>
    </row>
    <row r="21" spans="13:20" ht="15.75">
      <c r="M21" s="6">
        <f>SUM(M3:M17)</f>
        <v>38342</v>
      </c>
      <c r="N21" s="1">
        <f>SUM(N3:N17)</f>
        <v>66</v>
      </c>
      <c r="O21" s="1">
        <f>SUM(O3:O17)</f>
        <v>54</v>
      </c>
      <c r="P21" s="1">
        <f>SUM(P3:P17)</f>
        <v>438</v>
      </c>
      <c r="Q21" s="1">
        <f>SUM(Q3:Q17)</f>
        <v>16</v>
      </c>
      <c r="S21" s="2">
        <f>N21-O21</f>
        <v>12</v>
      </c>
      <c r="T21" s="2">
        <f>SUM(R18:T18)</f>
        <v>15</v>
      </c>
    </row>
    <row r="22" spans="3:4" ht="15.75">
      <c r="C22" s="270" t="s">
        <v>40</v>
      </c>
      <c r="D22" s="270"/>
    </row>
    <row r="23" spans="3:14" ht="15.75">
      <c r="C23" s="268" t="s">
        <v>134</v>
      </c>
      <c r="D23" s="268"/>
      <c r="M23" s="1" t="s">
        <v>130</v>
      </c>
      <c r="N23" s="19">
        <f>M21/T21</f>
        <v>2556.133333333333</v>
      </c>
    </row>
    <row r="24" spans="3:14" ht="15.75">
      <c r="C24" s="269" t="s">
        <v>135</v>
      </c>
      <c r="D24" s="269"/>
      <c r="M24" s="1" t="s">
        <v>260</v>
      </c>
      <c r="N24" s="6">
        <f>M4+M6+M8+M10+M12+M14+M16+M31+M33+M35+M37+M39+M41+M42+M44</f>
        <v>38264</v>
      </c>
    </row>
    <row r="25" spans="9:13" ht="15.75">
      <c r="I25" s="262" t="s">
        <v>154</v>
      </c>
      <c r="J25" s="262"/>
      <c r="K25" s="12" t="s">
        <v>155</v>
      </c>
      <c r="L25" s="262" t="s">
        <v>128</v>
      </c>
      <c r="M25" s="262"/>
    </row>
    <row r="26" spans="1:13" ht="15.75">
      <c r="A26" s="73" t="s">
        <v>144</v>
      </c>
      <c r="B26" s="74"/>
      <c r="C26" s="74" t="s">
        <v>147</v>
      </c>
      <c r="D26" s="74" t="s">
        <v>142</v>
      </c>
      <c r="E26" s="266" t="s">
        <v>143</v>
      </c>
      <c r="F26" s="266"/>
      <c r="I26" s="1">
        <f>N21+N45</f>
        <v>125</v>
      </c>
      <c r="J26" s="1">
        <f>O21+O45</f>
        <v>115</v>
      </c>
      <c r="K26" s="1">
        <f>Q21+Q45</f>
        <v>26</v>
      </c>
      <c r="L26" s="267">
        <f>I26-J26</f>
        <v>10</v>
      </c>
      <c r="M26" s="267"/>
    </row>
    <row r="27" ht="15.75">
      <c r="F27" s="56"/>
    </row>
    <row r="29" spans="2:20" ht="32.25" thickBot="1">
      <c r="B29" s="3" t="s">
        <v>25</v>
      </c>
      <c r="C29" s="9" t="s">
        <v>55</v>
      </c>
      <c r="D29" s="9" t="s">
        <v>56</v>
      </c>
      <c r="E29" s="9" t="s">
        <v>57</v>
      </c>
      <c r="F29" s="9" t="s">
        <v>58</v>
      </c>
      <c r="G29" s="9" t="s">
        <v>59</v>
      </c>
      <c r="H29" s="9" t="s">
        <v>288</v>
      </c>
      <c r="I29" s="9" t="s">
        <v>122</v>
      </c>
      <c r="J29" s="9" t="s">
        <v>242</v>
      </c>
      <c r="K29" s="9" t="s">
        <v>283</v>
      </c>
      <c r="L29" s="9" t="s">
        <v>290</v>
      </c>
      <c r="M29" s="3" t="s">
        <v>30</v>
      </c>
      <c r="N29" s="3" t="s">
        <v>21</v>
      </c>
      <c r="O29" s="3" t="s">
        <v>29</v>
      </c>
      <c r="P29" s="3" t="s">
        <v>31</v>
      </c>
      <c r="Q29" s="11" t="s">
        <v>116</v>
      </c>
      <c r="R29" s="2" t="s">
        <v>191</v>
      </c>
      <c r="S29" s="2" t="s">
        <v>192</v>
      </c>
      <c r="T29" s="2" t="s">
        <v>193</v>
      </c>
    </row>
    <row r="30" spans="1:20" s="148" customFormat="1" ht="15.75">
      <c r="A30" s="144" t="s">
        <v>221</v>
      </c>
      <c r="B30" s="144" t="s">
        <v>216</v>
      </c>
      <c r="C30" s="166">
        <v>432</v>
      </c>
      <c r="D30" s="182">
        <v>468</v>
      </c>
      <c r="E30" s="182">
        <v>456</v>
      </c>
      <c r="F30" s="165">
        <v>441</v>
      </c>
      <c r="G30" s="165">
        <v>445</v>
      </c>
      <c r="H30" s="165"/>
      <c r="I30" s="165"/>
      <c r="J30" s="182">
        <v>450</v>
      </c>
      <c r="K30" s="166"/>
      <c r="L30" s="166"/>
      <c r="M30" s="146">
        <f>SUM(C30:L30)</f>
        <v>2692</v>
      </c>
      <c r="N30" s="144">
        <v>3</v>
      </c>
      <c r="O30" s="144">
        <v>5</v>
      </c>
      <c r="P30" s="144">
        <v>-3</v>
      </c>
      <c r="Q30" s="144">
        <v>0</v>
      </c>
      <c r="T30" s="148">
        <v>1</v>
      </c>
    </row>
    <row r="31" spans="1:20" s="158" customFormat="1" ht="15.75">
      <c r="A31" s="154" t="s">
        <v>222</v>
      </c>
      <c r="B31" s="154" t="s">
        <v>223</v>
      </c>
      <c r="C31" s="52">
        <v>404</v>
      </c>
      <c r="D31" s="52">
        <v>376</v>
      </c>
      <c r="E31" s="93">
        <v>443</v>
      </c>
      <c r="F31" s="52">
        <v>395</v>
      </c>
      <c r="G31" s="52">
        <v>434</v>
      </c>
      <c r="H31" s="52"/>
      <c r="I31" s="52"/>
      <c r="J31" s="93">
        <v>443</v>
      </c>
      <c r="K31" s="169"/>
      <c r="L31" s="169"/>
      <c r="M31" s="156">
        <f>SUM(C31:J31)</f>
        <v>2495</v>
      </c>
      <c r="N31" s="154">
        <v>2</v>
      </c>
      <c r="O31" s="154">
        <v>6</v>
      </c>
      <c r="P31" s="154">
        <v>-63</v>
      </c>
      <c r="Q31" s="154">
        <v>0</v>
      </c>
      <c r="T31" s="158">
        <v>1</v>
      </c>
    </row>
    <row r="32" spans="1:18" s="148" customFormat="1" ht="15.75">
      <c r="A32" s="144" t="s">
        <v>156</v>
      </c>
      <c r="B32" s="144" t="s">
        <v>22</v>
      </c>
      <c r="C32" s="182">
        <v>420</v>
      </c>
      <c r="D32" s="182">
        <v>446</v>
      </c>
      <c r="E32" s="182">
        <v>461</v>
      </c>
      <c r="F32" s="182">
        <v>446</v>
      </c>
      <c r="G32" s="182">
        <v>427</v>
      </c>
      <c r="H32" s="165"/>
      <c r="I32" s="165"/>
      <c r="J32" s="182">
        <v>430</v>
      </c>
      <c r="K32" s="166"/>
      <c r="L32" s="166"/>
      <c r="M32" s="146">
        <f aca="true" t="shared" si="2" ref="M32:M37">SUM(C32:K32)</f>
        <v>2630</v>
      </c>
      <c r="N32" s="144">
        <v>8</v>
      </c>
      <c r="O32" s="144">
        <v>0</v>
      </c>
      <c r="P32" s="144">
        <f>M32-2291</f>
        <v>339</v>
      </c>
      <c r="Q32" s="144">
        <v>2</v>
      </c>
      <c r="R32" s="148">
        <v>1</v>
      </c>
    </row>
    <row r="33" spans="1:20" s="158" customFormat="1" ht="15.75">
      <c r="A33" s="154" t="s">
        <v>157</v>
      </c>
      <c r="B33" s="154" t="s">
        <v>15</v>
      </c>
      <c r="C33" s="181">
        <v>472</v>
      </c>
      <c r="D33" s="181">
        <v>446</v>
      </c>
      <c r="E33" s="163">
        <v>399</v>
      </c>
      <c r="F33" s="163"/>
      <c r="G33" s="163">
        <v>424</v>
      </c>
      <c r="H33" s="163"/>
      <c r="I33" s="163"/>
      <c r="J33" s="169">
        <v>410</v>
      </c>
      <c r="K33" s="169">
        <v>417</v>
      </c>
      <c r="L33" s="169"/>
      <c r="M33" s="156">
        <f t="shared" si="2"/>
        <v>2568</v>
      </c>
      <c r="N33" s="154">
        <v>2</v>
      </c>
      <c r="O33" s="154">
        <v>6</v>
      </c>
      <c r="P33" s="154">
        <f>M33-2643</f>
        <v>-75</v>
      </c>
      <c r="Q33" s="154">
        <v>0</v>
      </c>
      <c r="T33" s="158">
        <v>1</v>
      </c>
    </row>
    <row r="34" spans="1:20" s="148" customFormat="1" ht="15.75">
      <c r="A34" s="144" t="s">
        <v>158</v>
      </c>
      <c r="B34" s="144" t="s">
        <v>17</v>
      </c>
      <c r="C34" s="182">
        <v>438</v>
      </c>
      <c r="D34" s="165">
        <v>414</v>
      </c>
      <c r="E34" s="165">
        <v>421</v>
      </c>
      <c r="F34" s="165">
        <v>416</v>
      </c>
      <c r="G34" s="182">
        <v>438</v>
      </c>
      <c r="H34" s="165"/>
      <c r="I34" s="165"/>
      <c r="J34" s="182">
        <v>448</v>
      </c>
      <c r="K34" s="166"/>
      <c r="L34" s="166"/>
      <c r="M34" s="146">
        <f t="shared" si="2"/>
        <v>2575</v>
      </c>
      <c r="N34" s="144">
        <v>3</v>
      </c>
      <c r="O34" s="144">
        <v>5</v>
      </c>
      <c r="P34" s="144">
        <v>-56</v>
      </c>
      <c r="Q34" s="144">
        <v>0</v>
      </c>
      <c r="T34" s="148">
        <v>1</v>
      </c>
    </row>
    <row r="35" spans="1:18" s="158" customFormat="1" ht="15.75">
      <c r="A35" s="154" t="s">
        <v>159</v>
      </c>
      <c r="B35" s="154" t="s">
        <v>218</v>
      </c>
      <c r="C35" s="169">
        <v>378</v>
      </c>
      <c r="D35" s="181">
        <v>426</v>
      </c>
      <c r="E35" s="181">
        <v>393</v>
      </c>
      <c r="F35" s="181">
        <v>390</v>
      </c>
      <c r="G35" s="163">
        <v>363</v>
      </c>
      <c r="H35" s="163"/>
      <c r="I35" s="163"/>
      <c r="J35" s="169"/>
      <c r="K35" s="181">
        <v>443</v>
      </c>
      <c r="L35" s="169"/>
      <c r="M35" s="156">
        <f t="shared" si="2"/>
        <v>2393</v>
      </c>
      <c r="N35" s="154">
        <v>6</v>
      </c>
      <c r="O35" s="154">
        <v>2</v>
      </c>
      <c r="P35" s="154">
        <v>107</v>
      </c>
      <c r="Q35" s="154">
        <v>2</v>
      </c>
      <c r="R35" s="158">
        <v>1</v>
      </c>
    </row>
    <row r="36" spans="1:20" s="148" customFormat="1" ht="15.75">
      <c r="A36" s="144" t="s">
        <v>160</v>
      </c>
      <c r="B36" s="144" t="s">
        <v>23</v>
      </c>
      <c r="C36" s="182">
        <v>429</v>
      </c>
      <c r="D36" s="182">
        <v>413</v>
      </c>
      <c r="E36" s="165">
        <v>395</v>
      </c>
      <c r="F36" s="165">
        <v>394</v>
      </c>
      <c r="G36" s="165">
        <v>399</v>
      </c>
      <c r="H36" s="182">
        <v>414</v>
      </c>
      <c r="I36" s="165"/>
      <c r="J36" s="166"/>
      <c r="K36" s="166"/>
      <c r="L36" s="166"/>
      <c r="M36" s="146">
        <f t="shared" si="2"/>
        <v>2444</v>
      </c>
      <c r="N36" s="144">
        <v>3</v>
      </c>
      <c r="O36" s="144">
        <v>5</v>
      </c>
      <c r="P36" s="144">
        <v>-42</v>
      </c>
      <c r="Q36" s="144">
        <v>0</v>
      </c>
      <c r="T36" s="148">
        <v>1</v>
      </c>
    </row>
    <row r="37" spans="1:18" s="158" customFormat="1" ht="15.75">
      <c r="A37" s="154" t="s">
        <v>161</v>
      </c>
      <c r="B37" s="154" t="s">
        <v>217</v>
      </c>
      <c r="C37" s="181">
        <v>442</v>
      </c>
      <c r="D37" s="181">
        <v>444</v>
      </c>
      <c r="E37" s="181">
        <v>438</v>
      </c>
      <c r="F37" s="181">
        <v>441</v>
      </c>
      <c r="G37" s="163">
        <v>415</v>
      </c>
      <c r="H37" s="163"/>
      <c r="I37" s="163"/>
      <c r="J37" s="169"/>
      <c r="K37" s="181">
        <v>475</v>
      </c>
      <c r="L37" s="169"/>
      <c r="M37" s="156">
        <f t="shared" si="2"/>
        <v>2655</v>
      </c>
      <c r="N37" s="154">
        <v>7</v>
      </c>
      <c r="O37" s="154">
        <v>1</v>
      </c>
      <c r="P37" s="154">
        <f>M37-2553</f>
        <v>102</v>
      </c>
      <c r="Q37" s="154">
        <v>2</v>
      </c>
      <c r="R37" s="158">
        <v>1</v>
      </c>
    </row>
    <row r="38" spans="1:18" s="148" customFormat="1" ht="15.75">
      <c r="A38" s="144" t="s">
        <v>162</v>
      </c>
      <c r="B38" s="144" t="s">
        <v>204</v>
      </c>
      <c r="C38" s="182">
        <v>425</v>
      </c>
      <c r="D38" s="182">
        <v>445</v>
      </c>
      <c r="E38" s="182">
        <v>454</v>
      </c>
      <c r="F38" s="182">
        <v>428</v>
      </c>
      <c r="G38" s="165"/>
      <c r="H38" s="165"/>
      <c r="I38" s="165"/>
      <c r="J38" s="166">
        <v>381</v>
      </c>
      <c r="K38" s="166"/>
      <c r="L38" s="166">
        <v>373</v>
      </c>
      <c r="M38" s="146">
        <f>SUM(C38:L38)</f>
        <v>2506</v>
      </c>
      <c r="N38" s="144">
        <v>6</v>
      </c>
      <c r="O38" s="144">
        <v>2</v>
      </c>
      <c r="P38" s="144">
        <v>82</v>
      </c>
      <c r="Q38" s="144">
        <v>2</v>
      </c>
      <c r="R38" s="148">
        <v>1</v>
      </c>
    </row>
    <row r="39" spans="1:18" s="158" customFormat="1" ht="15.75">
      <c r="A39" s="154" t="s">
        <v>163</v>
      </c>
      <c r="B39" s="154" t="s">
        <v>214</v>
      </c>
      <c r="C39" s="93">
        <v>435</v>
      </c>
      <c r="D39" s="93">
        <v>427</v>
      </c>
      <c r="E39" s="93">
        <v>449</v>
      </c>
      <c r="F39" s="163">
        <v>410</v>
      </c>
      <c r="G39" s="224">
        <v>424</v>
      </c>
      <c r="H39" s="163"/>
      <c r="I39" s="163"/>
      <c r="J39" s="169"/>
      <c r="K39" s="181">
        <v>442</v>
      </c>
      <c r="L39" s="169"/>
      <c r="M39" s="156">
        <f>SUM(C39:L39)</f>
        <v>2587</v>
      </c>
      <c r="N39" s="154">
        <v>7</v>
      </c>
      <c r="O39" s="154">
        <v>1</v>
      </c>
      <c r="P39" s="154">
        <f>M39-2449</f>
        <v>138</v>
      </c>
      <c r="Q39" s="154">
        <v>2</v>
      </c>
      <c r="R39" s="158">
        <v>1</v>
      </c>
    </row>
    <row r="40" spans="1:20" s="148" customFormat="1" ht="15.75">
      <c r="A40" s="144" t="s">
        <v>164</v>
      </c>
      <c r="B40" s="144" t="s">
        <v>19</v>
      </c>
      <c r="C40" s="166">
        <v>406</v>
      </c>
      <c r="D40" s="165">
        <v>424</v>
      </c>
      <c r="E40" s="165">
        <v>411</v>
      </c>
      <c r="F40" s="165">
        <v>394</v>
      </c>
      <c r="G40" s="225">
        <v>428</v>
      </c>
      <c r="H40" s="165"/>
      <c r="I40" s="165"/>
      <c r="J40" s="166"/>
      <c r="K40" s="225">
        <v>436</v>
      </c>
      <c r="L40" s="166"/>
      <c r="M40" s="146">
        <f>SUM(C40:K40)</f>
        <v>2499</v>
      </c>
      <c r="N40" s="144">
        <v>2</v>
      </c>
      <c r="O40" s="144">
        <v>6</v>
      </c>
      <c r="P40" s="144">
        <f>M40-2568</f>
        <v>-69</v>
      </c>
      <c r="Q40" s="144">
        <v>0</v>
      </c>
      <c r="T40" s="148">
        <v>1</v>
      </c>
    </row>
    <row r="41" spans="1:20" s="158" customFormat="1" ht="15.75">
      <c r="A41" s="154" t="s">
        <v>165</v>
      </c>
      <c r="B41" s="154" t="s">
        <v>26</v>
      </c>
      <c r="C41" s="224">
        <v>444</v>
      </c>
      <c r="D41" s="163">
        <v>420</v>
      </c>
      <c r="E41" s="224">
        <v>449</v>
      </c>
      <c r="F41" s="163">
        <v>416</v>
      </c>
      <c r="G41" s="163">
        <v>418</v>
      </c>
      <c r="H41" s="163"/>
      <c r="I41" s="163"/>
      <c r="J41" s="169"/>
      <c r="K41" s="224">
        <v>457</v>
      </c>
      <c r="L41" s="169"/>
      <c r="M41" s="156">
        <f>SUM(C41:L41)</f>
        <v>2604</v>
      </c>
      <c r="N41" s="154">
        <v>3</v>
      </c>
      <c r="O41" s="154">
        <v>5</v>
      </c>
      <c r="P41" s="154">
        <f>M41-2632</f>
        <v>-28</v>
      </c>
      <c r="Q41" s="154">
        <v>0</v>
      </c>
      <c r="T41" s="158">
        <v>1</v>
      </c>
    </row>
    <row r="42" spans="1:20" s="158" customFormat="1" ht="15.75">
      <c r="A42" s="154" t="s">
        <v>166</v>
      </c>
      <c r="B42" s="162" t="s">
        <v>24</v>
      </c>
      <c r="C42" s="169">
        <v>413</v>
      </c>
      <c r="D42" s="224">
        <v>438</v>
      </c>
      <c r="E42" s="224">
        <v>451</v>
      </c>
      <c r="F42" s="163"/>
      <c r="G42" s="224">
        <v>416</v>
      </c>
      <c r="H42" s="163">
        <v>398</v>
      </c>
      <c r="I42" s="163"/>
      <c r="J42" s="169"/>
      <c r="K42" s="169">
        <v>395</v>
      </c>
      <c r="L42" s="169"/>
      <c r="M42" s="156">
        <f>SUM(C42:L42)</f>
        <v>2511</v>
      </c>
      <c r="N42" s="154">
        <v>3</v>
      </c>
      <c r="O42" s="154">
        <v>5</v>
      </c>
      <c r="P42" s="154">
        <v>-16</v>
      </c>
      <c r="Q42" s="154">
        <v>0</v>
      </c>
      <c r="T42" s="158">
        <v>1</v>
      </c>
    </row>
    <row r="43" spans="1:20" s="148" customFormat="1" ht="15.75">
      <c r="A43" s="144" t="s">
        <v>167</v>
      </c>
      <c r="B43" s="144" t="s">
        <v>20</v>
      </c>
      <c r="C43" s="166">
        <v>410</v>
      </c>
      <c r="D43" s="165">
        <v>389</v>
      </c>
      <c r="E43" s="165">
        <v>394</v>
      </c>
      <c r="F43" s="165">
        <v>385</v>
      </c>
      <c r="G43" s="225">
        <v>437</v>
      </c>
      <c r="H43" s="165"/>
      <c r="I43" s="225">
        <v>430</v>
      </c>
      <c r="J43" s="166"/>
      <c r="K43" s="166"/>
      <c r="L43" s="166"/>
      <c r="M43" s="146">
        <f>SUM(C43:I43)</f>
        <v>2445</v>
      </c>
      <c r="N43" s="144">
        <v>2</v>
      </c>
      <c r="O43" s="144">
        <v>6</v>
      </c>
      <c r="P43" s="144">
        <f>M43-2529</f>
        <v>-84</v>
      </c>
      <c r="Q43" s="144">
        <v>0</v>
      </c>
      <c r="T43" s="148">
        <v>1</v>
      </c>
    </row>
    <row r="44" spans="1:20" s="158" customFormat="1" ht="16.5" thickBot="1">
      <c r="A44" s="154" t="s">
        <v>168</v>
      </c>
      <c r="B44" s="154" t="s">
        <v>18</v>
      </c>
      <c r="C44" s="242">
        <v>451</v>
      </c>
      <c r="D44" s="164">
        <v>427</v>
      </c>
      <c r="E44" s="164">
        <v>428</v>
      </c>
      <c r="F44" s="164"/>
      <c r="G44" s="242">
        <v>434</v>
      </c>
      <c r="H44" s="164"/>
      <c r="I44" s="164">
        <v>393</v>
      </c>
      <c r="J44" s="183">
        <v>423</v>
      </c>
      <c r="K44" s="183"/>
      <c r="L44" s="183"/>
      <c r="M44" s="161">
        <f>SUM(C44:J44)</f>
        <v>2556</v>
      </c>
      <c r="N44" s="160">
        <v>2</v>
      </c>
      <c r="O44" s="160">
        <v>6</v>
      </c>
      <c r="P44" s="160">
        <v>-175</v>
      </c>
      <c r="Q44" s="160">
        <v>0</v>
      </c>
      <c r="R44" s="179"/>
      <c r="S44" s="179"/>
      <c r="T44" s="179">
        <v>1</v>
      </c>
    </row>
    <row r="45" spans="3:20" ht="16.5" thickTop="1">
      <c r="C45" s="91">
        <f aca="true" t="shared" si="3" ref="C45:I45">SUM(C30:C44)</f>
        <v>6399</v>
      </c>
      <c r="D45" s="91">
        <f t="shared" si="3"/>
        <v>6403</v>
      </c>
      <c r="E45" s="91">
        <f t="shared" si="3"/>
        <v>6442</v>
      </c>
      <c r="F45" s="91">
        <f t="shared" si="3"/>
        <v>4956</v>
      </c>
      <c r="G45" s="91">
        <f t="shared" si="3"/>
        <v>5902</v>
      </c>
      <c r="H45" s="91">
        <f t="shared" si="3"/>
        <v>812</v>
      </c>
      <c r="I45" s="91">
        <f t="shared" si="3"/>
        <v>823</v>
      </c>
      <c r="J45" s="91">
        <f>SUM(J30:J44)</f>
        <v>2985</v>
      </c>
      <c r="K45" s="91">
        <f>SUM(K30:K44)</f>
        <v>3065</v>
      </c>
      <c r="L45" s="91">
        <f>SUM(L30:L44)</f>
        <v>373</v>
      </c>
      <c r="N45" s="1">
        <f>SUM(N30:N44)</f>
        <v>59</v>
      </c>
      <c r="O45" s="1">
        <f>SUM(O30:O44)</f>
        <v>61</v>
      </c>
      <c r="P45" s="1">
        <f>SUM(P30:P44)</f>
        <v>157</v>
      </c>
      <c r="Q45" s="1">
        <f>SUM(Q30:Q44)</f>
        <v>10</v>
      </c>
      <c r="R45" s="1">
        <f>SUM(R30:R44)+R18</f>
        <v>13</v>
      </c>
      <c r="S45" s="1">
        <f>SUM(S30:S44)+S18</f>
        <v>0</v>
      </c>
      <c r="T45" s="1">
        <f>SUM(T30:T44)+T18</f>
        <v>17</v>
      </c>
    </row>
    <row r="46" spans="2:12" ht="31.5">
      <c r="B46" s="83" t="s">
        <v>279</v>
      </c>
      <c r="C46" s="17">
        <f>COUNT(C30:C44)</f>
        <v>15</v>
      </c>
      <c r="D46" s="17">
        <f aca="true" t="shared" si="4" ref="D46:L46">COUNT(D30:D44)</f>
        <v>15</v>
      </c>
      <c r="E46" s="17">
        <f t="shared" si="4"/>
        <v>15</v>
      </c>
      <c r="F46" s="17">
        <f t="shared" si="4"/>
        <v>12</v>
      </c>
      <c r="G46" s="17">
        <f t="shared" si="4"/>
        <v>14</v>
      </c>
      <c r="H46" s="17">
        <f t="shared" si="4"/>
        <v>2</v>
      </c>
      <c r="I46" s="17">
        <f t="shared" si="4"/>
        <v>2</v>
      </c>
      <c r="J46" s="17">
        <f t="shared" si="4"/>
        <v>7</v>
      </c>
      <c r="K46" s="17">
        <f t="shared" si="4"/>
        <v>7</v>
      </c>
      <c r="L46" s="17">
        <f t="shared" si="4"/>
        <v>1</v>
      </c>
    </row>
    <row r="47" spans="2:20" ht="31.5">
      <c r="B47" s="12" t="s">
        <v>278</v>
      </c>
      <c r="C47" s="17">
        <f aca="true" t="shared" si="5" ref="C47:I47">C45/C46</f>
        <v>426.6</v>
      </c>
      <c r="D47" s="17">
        <f t="shared" si="5"/>
        <v>426.8666666666667</v>
      </c>
      <c r="E47" s="17">
        <f t="shared" si="5"/>
        <v>429.46666666666664</v>
      </c>
      <c r="F47" s="17">
        <f t="shared" si="5"/>
        <v>413</v>
      </c>
      <c r="G47" s="17">
        <f t="shared" si="5"/>
        <v>421.57142857142856</v>
      </c>
      <c r="H47" s="17">
        <f t="shared" si="5"/>
        <v>406</v>
      </c>
      <c r="I47" s="17">
        <f t="shared" si="5"/>
        <v>411.5</v>
      </c>
      <c r="J47" s="17">
        <f>J45/J46</f>
        <v>426.42857142857144</v>
      </c>
      <c r="K47" s="17">
        <f>K45/K46</f>
        <v>437.85714285714283</v>
      </c>
      <c r="L47" s="17">
        <f>L45/L46</f>
        <v>373</v>
      </c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3:20" ht="15.75">
      <c r="M48" s="6">
        <f>SUM(M30:M44)+M21</f>
        <v>76502</v>
      </c>
      <c r="N48" s="6">
        <f>SUM(N30:N44)+N21</f>
        <v>125</v>
      </c>
      <c r="O48" s="6">
        <f>SUM(O30:O44)+O21</f>
        <v>115</v>
      </c>
      <c r="P48" s="6">
        <f>SUM(P30:P44)+P21</f>
        <v>595</v>
      </c>
      <c r="Q48" s="6">
        <f>SUM(Q30:Q44)+Q21</f>
        <v>26</v>
      </c>
      <c r="S48" s="2">
        <f>N48-O48</f>
        <v>10</v>
      </c>
      <c r="T48" s="2">
        <f>SUM(R45:T45)</f>
        <v>30</v>
      </c>
    </row>
    <row r="50" spans="13:14" ht="15.75">
      <c r="M50" s="1" t="s">
        <v>130</v>
      </c>
      <c r="N50" s="19">
        <f>M48/T48</f>
        <v>2550.0666666666666</v>
      </c>
    </row>
  </sheetData>
  <sheetProtection/>
  <mergeCells count="11">
    <mergeCell ref="C1:L1"/>
    <mergeCell ref="N1:O1"/>
    <mergeCell ref="C22:D22"/>
    <mergeCell ref="N20:O20"/>
    <mergeCell ref="C23:D23"/>
    <mergeCell ref="N47:O47"/>
    <mergeCell ref="E26:F26"/>
    <mergeCell ref="I25:J25"/>
    <mergeCell ref="L25:M25"/>
    <mergeCell ref="L26:M26"/>
    <mergeCell ref="C24:D24"/>
  </mergeCells>
  <printOptions/>
  <pageMargins left="0.75" right="0.75" top="1" bottom="1" header="0.5" footer="0.5"/>
  <pageSetup horizontalDpi="600" verticalDpi="600" orientation="portrait" paperSize="9" r:id="rId1"/>
  <ignoredErrors>
    <ignoredError sqref="H18:H20" formula="1"/>
    <ignoredError sqref="I18:I1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0"/>
  <sheetViews>
    <sheetView zoomScale="90" zoomScaleNormal="90" zoomScalePageLayoutView="0" workbookViewId="0" topLeftCell="B22">
      <selection activeCell="F44" sqref="F44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4" width="9.25390625" style="1" bestFit="1" customWidth="1"/>
    <col min="5" max="5" width="14.00390625" style="1" customWidth="1"/>
    <col min="6" max="9" width="9.25390625" style="1" bestFit="1" customWidth="1"/>
    <col min="10" max="10" width="11.25390625" style="1" customWidth="1"/>
    <col min="11" max="11" width="11.375" style="1" customWidth="1"/>
    <col min="12" max="12" width="10.75390625" style="1" customWidth="1"/>
    <col min="13" max="13" width="15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125" style="1" customWidth="1"/>
    <col min="19" max="20" width="12.0039062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N1" s="265" t="s">
        <v>28</v>
      </c>
      <c r="O1" s="265"/>
      <c r="R1" s="2"/>
      <c r="S1" s="2"/>
      <c r="T1" s="2"/>
    </row>
    <row r="2" spans="2:20" ht="34.5" customHeight="1" thickBot="1">
      <c r="B2" s="3" t="s">
        <v>25</v>
      </c>
      <c r="C2" s="9" t="s">
        <v>65</v>
      </c>
      <c r="D2" s="9" t="s">
        <v>64</v>
      </c>
      <c r="E2" s="9" t="s">
        <v>206</v>
      </c>
      <c r="F2" s="9" t="s">
        <v>63</v>
      </c>
      <c r="G2" s="9" t="s">
        <v>62</v>
      </c>
      <c r="H2" s="9" t="s">
        <v>61</v>
      </c>
      <c r="I2" s="9" t="s">
        <v>245</v>
      </c>
      <c r="J2" s="9" t="s">
        <v>114</v>
      </c>
      <c r="K2" s="9" t="s">
        <v>125</v>
      </c>
      <c r="L2" s="9" t="s">
        <v>107</v>
      </c>
      <c r="M2" s="3" t="s">
        <v>30</v>
      </c>
      <c r="N2" s="3" t="s">
        <v>20</v>
      </c>
      <c r="O2" s="3" t="s">
        <v>29</v>
      </c>
      <c r="P2" s="3" t="s">
        <v>31</v>
      </c>
      <c r="Q2" s="11" t="s">
        <v>116</v>
      </c>
      <c r="R2" s="2" t="s">
        <v>191</v>
      </c>
      <c r="S2" s="2" t="s">
        <v>192</v>
      </c>
      <c r="T2" s="2" t="s">
        <v>193</v>
      </c>
    </row>
    <row r="3" spans="1:20" s="25" customFormat="1" ht="15.75">
      <c r="A3" s="20" t="s">
        <v>0</v>
      </c>
      <c r="B3" s="20" t="s">
        <v>214</v>
      </c>
      <c r="C3" s="47">
        <v>432</v>
      </c>
      <c r="D3" s="92">
        <v>440</v>
      </c>
      <c r="E3" s="47"/>
      <c r="F3" s="92">
        <v>458</v>
      </c>
      <c r="G3" s="47"/>
      <c r="H3" s="47"/>
      <c r="I3" s="47">
        <v>400</v>
      </c>
      <c r="J3" s="47"/>
      <c r="K3" s="92">
        <v>441</v>
      </c>
      <c r="L3" s="39">
        <v>421</v>
      </c>
      <c r="M3" s="23">
        <f>SUM(C3:L3)</f>
        <v>2592</v>
      </c>
      <c r="N3" s="20">
        <v>3</v>
      </c>
      <c r="O3" s="20">
        <v>5</v>
      </c>
      <c r="P3" s="20">
        <v>-14</v>
      </c>
      <c r="Q3" s="20">
        <v>0</v>
      </c>
      <c r="R3" s="24"/>
      <c r="S3" s="24"/>
      <c r="T3" s="24">
        <v>1</v>
      </c>
    </row>
    <row r="4" spans="1:20" s="34" customFormat="1" ht="15.75">
      <c r="A4" s="29" t="s">
        <v>1</v>
      </c>
      <c r="B4" s="29" t="s">
        <v>204</v>
      </c>
      <c r="C4" s="93">
        <v>415</v>
      </c>
      <c r="D4" s="48"/>
      <c r="E4" s="48"/>
      <c r="F4" s="93">
        <v>444</v>
      </c>
      <c r="G4" s="48">
        <v>376</v>
      </c>
      <c r="H4" s="48">
        <v>360</v>
      </c>
      <c r="I4" s="93">
        <v>430</v>
      </c>
      <c r="J4" s="48"/>
      <c r="K4" s="48"/>
      <c r="L4" s="96">
        <v>443</v>
      </c>
      <c r="M4" s="32">
        <f aca="true" t="shared" si="0" ref="M4:M15">SUM(C4:L4)</f>
        <v>2468</v>
      </c>
      <c r="N4" s="29">
        <v>6</v>
      </c>
      <c r="O4" s="29">
        <v>2</v>
      </c>
      <c r="P4" s="29">
        <v>118</v>
      </c>
      <c r="Q4" s="29">
        <v>2</v>
      </c>
      <c r="R4" s="33">
        <v>1</v>
      </c>
      <c r="S4" s="33"/>
      <c r="T4" s="33"/>
    </row>
    <row r="5" spans="1:20" s="25" customFormat="1" ht="15.75">
      <c r="A5" s="20" t="s">
        <v>2</v>
      </c>
      <c r="B5" s="20" t="s">
        <v>217</v>
      </c>
      <c r="C5" s="92">
        <v>446</v>
      </c>
      <c r="D5" s="47">
        <v>390</v>
      </c>
      <c r="E5" s="47"/>
      <c r="F5" s="47">
        <v>405</v>
      </c>
      <c r="G5" s="47"/>
      <c r="H5" s="47"/>
      <c r="I5" s="92">
        <v>444</v>
      </c>
      <c r="J5" s="47"/>
      <c r="K5" s="47">
        <v>393</v>
      </c>
      <c r="L5" s="102">
        <v>442</v>
      </c>
      <c r="M5" s="23">
        <f t="shared" si="0"/>
        <v>2520</v>
      </c>
      <c r="N5" s="20">
        <v>3</v>
      </c>
      <c r="O5" s="20">
        <v>5</v>
      </c>
      <c r="P5" s="20">
        <v>-80</v>
      </c>
      <c r="Q5" s="20">
        <v>0</v>
      </c>
      <c r="R5" s="24"/>
      <c r="S5" s="24"/>
      <c r="T5" s="24">
        <v>1</v>
      </c>
    </row>
    <row r="6" spans="1:20" s="34" customFormat="1" ht="15.75">
      <c r="A6" s="29" t="s">
        <v>3</v>
      </c>
      <c r="B6" s="29" t="s">
        <v>23</v>
      </c>
      <c r="C6" s="48">
        <v>407</v>
      </c>
      <c r="D6" s="93">
        <v>443</v>
      </c>
      <c r="E6" s="48"/>
      <c r="F6" s="48">
        <v>412</v>
      </c>
      <c r="G6" s="48"/>
      <c r="H6" s="48"/>
      <c r="I6" s="48">
        <v>415</v>
      </c>
      <c r="J6" s="48"/>
      <c r="K6" s="48">
        <v>400</v>
      </c>
      <c r="L6" s="96">
        <v>444</v>
      </c>
      <c r="M6" s="32">
        <f t="shared" si="0"/>
        <v>2521</v>
      </c>
      <c r="N6" s="29">
        <v>2</v>
      </c>
      <c r="O6" s="29">
        <v>6</v>
      </c>
      <c r="P6" s="32">
        <v>-140</v>
      </c>
      <c r="Q6" s="29">
        <v>0</v>
      </c>
      <c r="R6" s="33"/>
      <c r="S6" s="33"/>
      <c r="T6" s="33">
        <v>1</v>
      </c>
    </row>
    <row r="7" spans="1:20" s="25" customFormat="1" ht="15.75">
      <c r="A7" s="20" t="s">
        <v>4</v>
      </c>
      <c r="B7" s="20" t="s">
        <v>218</v>
      </c>
      <c r="C7" s="47"/>
      <c r="D7" s="92">
        <v>475</v>
      </c>
      <c r="E7" s="47">
        <v>399</v>
      </c>
      <c r="F7" s="92">
        <v>483</v>
      </c>
      <c r="G7" s="47"/>
      <c r="H7" s="47"/>
      <c r="I7" s="92">
        <v>420</v>
      </c>
      <c r="J7" s="47">
        <v>342</v>
      </c>
      <c r="K7" s="47"/>
      <c r="L7" s="102">
        <v>442</v>
      </c>
      <c r="M7" s="23">
        <f t="shared" si="0"/>
        <v>2561</v>
      </c>
      <c r="N7" s="20">
        <v>6</v>
      </c>
      <c r="O7" s="20">
        <v>2</v>
      </c>
      <c r="P7" s="23">
        <v>226</v>
      </c>
      <c r="Q7" s="20">
        <v>2</v>
      </c>
      <c r="R7" s="24">
        <v>1</v>
      </c>
      <c r="S7" s="24"/>
      <c r="T7" s="24"/>
    </row>
    <row r="8" spans="1:20" s="34" customFormat="1" ht="15.75">
      <c r="A8" s="29" t="s">
        <v>5</v>
      </c>
      <c r="B8" s="35" t="s">
        <v>17</v>
      </c>
      <c r="C8" s="48">
        <v>442</v>
      </c>
      <c r="D8" s="93">
        <v>480</v>
      </c>
      <c r="E8" s="48"/>
      <c r="F8" s="93">
        <v>454</v>
      </c>
      <c r="G8" s="48"/>
      <c r="H8" s="48"/>
      <c r="I8" s="93">
        <v>462</v>
      </c>
      <c r="J8" s="48"/>
      <c r="K8" s="48">
        <v>400</v>
      </c>
      <c r="L8" s="44">
        <v>412</v>
      </c>
      <c r="M8" s="32">
        <f t="shared" si="0"/>
        <v>2650</v>
      </c>
      <c r="N8" s="29">
        <v>3</v>
      </c>
      <c r="O8" s="29">
        <v>5</v>
      </c>
      <c r="P8" s="29">
        <v>-30</v>
      </c>
      <c r="Q8" s="29">
        <v>0</v>
      </c>
      <c r="R8" s="33"/>
      <c r="S8" s="33"/>
      <c r="T8" s="33">
        <v>1</v>
      </c>
    </row>
    <row r="9" spans="1:20" s="25" customFormat="1" ht="15.75">
      <c r="A9" s="20" t="s">
        <v>6</v>
      </c>
      <c r="B9" s="20" t="s">
        <v>15</v>
      </c>
      <c r="C9" s="47">
        <v>418</v>
      </c>
      <c r="D9" s="47">
        <v>434</v>
      </c>
      <c r="E9" s="47"/>
      <c r="F9" s="47">
        <v>419</v>
      </c>
      <c r="G9" s="47"/>
      <c r="H9" s="47"/>
      <c r="I9" s="92">
        <v>446</v>
      </c>
      <c r="J9" s="47"/>
      <c r="K9" s="47">
        <v>394</v>
      </c>
      <c r="L9" s="102">
        <v>463</v>
      </c>
      <c r="M9" s="23">
        <f t="shared" si="0"/>
        <v>2574</v>
      </c>
      <c r="N9" s="20">
        <v>2</v>
      </c>
      <c r="O9" s="20">
        <v>6</v>
      </c>
      <c r="P9" s="20">
        <v>-33</v>
      </c>
      <c r="Q9" s="20">
        <v>0</v>
      </c>
      <c r="R9" s="24"/>
      <c r="S9" s="24"/>
      <c r="T9" s="24">
        <v>1</v>
      </c>
    </row>
    <row r="10" spans="1:20" s="34" customFormat="1" ht="15.75">
      <c r="A10" s="29" t="s">
        <v>7</v>
      </c>
      <c r="B10" s="29" t="s">
        <v>22</v>
      </c>
      <c r="C10" s="93">
        <v>448</v>
      </c>
      <c r="D10" s="93">
        <v>427</v>
      </c>
      <c r="E10" s="48"/>
      <c r="F10" s="48">
        <v>414</v>
      </c>
      <c r="G10" s="48">
        <v>401</v>
      </c>
      <c r="H10" s="48"/>
      <c r="I10" s="93">
        <v>415</v>
      </c>
      <c r="J10" s="48"/>
      <c r="K10" s="48"/>
      <c r="L10" s="44">
        <v>409</v>
      </c>
      <c r="M10" s="32">
        <f t="shared" si="0"/>
        <v>2514</v>
      </c>
      <c r="N10" s="29">
        <v>5</v>
      </c>
      <c r="O10" s="29">
        <v>3</v>
      </c>
      <c r="P10" s="32">
        <f>M10-2388</f>
        <v>126</v>
      </c>
      <c r="Q10" s="29">
        <v>2</v>
      </c>
      <c r="R10" s="33">
        <v>1</v>
      </c>
      <c r="S10" s="33"/>
      <c r="T10" s="33"/>
    </row>
    <row r="11" spans="1:20" s="25" customFormat="1" ht="15.75">
      <c r="A11" s="20" t="s">
        <v>8</v>
      </c>
      <c r="B11" s="20" t="s">
        <v>215</v>
      </c>
      <c r="C11" s="92">
        <v>464</v>
      </c>
      <c r="D11" s="47">
        <v>373</v>
      </c>
      <c r="E11" s="47"/>
      <c r="F11" s="92">
        <v>449</v>
      </c>
      <c r="G11" s="47"/>
      <c r="H11" s="47"/>
      <c r="I11" s="47">
        <v>392</v>
      </c>
      <c r="J11" s="47"/>
      <c r="K11" s="47">
        <v>416</v>
      </c>
      <c r="L11" s="102">
        <v>447</v>
      </c>
      <c r="M11" s="23">
        <f t="shared" si="0"/>
        <v>2541</v>
      </c>
      <c r="N11" s="20">
        <v>3</v>
      </c>
      <c r="O11" s="20">
        <v>5</v>
      </c>
      <c r="P11" s="20">
        <v>-6</v>
      </c>
      <c r="Q11" s="20">
        <v>0</v>
      </c>
      <c r="R11" s="24"/>
      <c r="S11" s="24"/>
      <c r="T11" s="24">
        <v>1</v>
      </c>
    </row>
    <row r="12" spans="1:20" s="34" customFormat="1" ht="15.75">
      <c r="A12" s="29" t="s">
        <v>9</v>
      </c>
      <c r="B12" s="29" t="s">
        <v>16</v>
      </c>
      <c r="C12" s="93">
        <v>444</v>
      </c>
      <c r="D12" s="93">
        <v>452</v>
      </c>
      <c r="E12" s="48"/>
      <c r="F12" s="93">
        <v>451</v>
      </c>
      <c r="G12" s="48"/>
      <c r="H12" s="48"/>
      <c r="I12" s="48">
        <v>404</v>
      </c>
      <c r="J12" s="48"/>
      <c r="K12" s="93">
        <v>439</v>
      </c>
      <c r="L12" s="44">
        <v>428</v>
      </c>
      <c r="M12" s="32">
        <f t="shared" si="0"/>
        <v>2618</v>
      </c>
      <c r="N12" s="29">
        <v>6</v>
      </c>
      <c r="O12" s="29">
        <v>2</v>
      </c>
      <c r="P12" s="32">
        <f>M12-2558</f>
        <v>60</v>
      </c>
      <c r="Q12" s="29">
        <v>2</v>
      </c>
      <c r="R12" s="33">
        <v>1</v>
      </c>
      <c r="S12" s="33"/>
      <c r="T12" s="33"/>
    </row>
    <row r="13" spans="1:20" s="25" customFormat="1" ht="15.75">
      <c r="A13" s="20" t="s">
        <v>10</v>
      </c>
      <c r="B13" s="20" t="s">
        <v>18</v>
      </c>
      <c r="C13" s="47">
        <v>416</v>
      </c>
      <c r="D13" s="92">
        <v>451</v>
      </c>
      <c r="E13" s="47"/>
      <c r="F13" s="47">
        <v>415</v>
      </c>
      <c r="G13" s="47"/>
      <c r="H13" s="47"/>
      <c r="I13" s="92">
        <v>443</v>
      </c>
      <c r="J13" s="47"/>
      <c r="K13" s="47">
        <v>397</v>
      </c>
      <c r="L13" s="102">
        <v>459</v>
      </c>
      <c r="M13" s="23">
        <f t="shared" si="0"/>
        <v>2581</v>
      </c>
      <c r="N13" s="20">
        <v>3</v>
      </c>
      <c r="O13" s="20">
        <v>5</v>
      </c>
      <c r="P13" s="23">
        <f>M13-2605</f>
        <v>-24</v>
      </c>
      <c r="Q13" s="20">
        <v>0</v>
      </c>
      <c r="R13" s="24"/>
      <c r="S13" s="24"/>
      <c r="T13" s="24">
        <v>1</v>
      </c>
    </row>
    <row r="14" spans="1:20" s="25" customFormat="1" ht="15.75">
      <c r="A14" s="20" t="s">
        <v>11</v>
      </c>
      <c r="B14" s="20" t="s">
        <v>26</v>
      </c>
      <c r="C14" s="92">
        <v>455</v>
      </c>
      <c r="D14" s="47">
        <v>405</v>
      </c>
      <c r="E14" s="47"/>
      <c r="F14" s="92">
        <v>470</v>
      </c>
      <c r="G14" s="47"/>
      <c r="H14" s="47">
        <v>386</v>
      </c>
      <c r="I14" s="92">
        <v>431</v>
      </c>
      <c r="J14" s="47"/>
      <c r="K14" s="47"/>
      <c r="L14" s="39">
        <v>430</v>
      </c>
      <c r="M14" s="23">
        <f t="shared" si="0"/>
        <v>2577</v>
      </c>
      <c r="N14" s="20">
        <v>3</v>
      </c>
      <c r="O14" s="20">
        <v>5</v>
      </c>
      <c r="P14" s="23">
        <v>-10</v>
      </c>
      <c r="Q14" s="20">
        <v>0</v>
      </c>
      <c r="R14" s="24"/>
      <c r="S14" s="24"/>
      <c r="T14" s="24">
        <v>1</v>
      </c>
    </row>
    <row r="15" spans="1:20" s="34" customFormat="1" ht="15.75">
      <c r="A15" s="29" t="s">
        <v>12</v>
      </c>
      <c r="B15" s="29" t="s">
        <v>24</v>
      </c>
      <c r="C15" s="48">
        <v>432</v>
      </c>
      <c r="D15" s="93">
        <v>438</v>
      </c>
      <c r="E15" s="48"/>
      <c r="F15" s="93">
        <v>465</v>
      </c>
      <c r="G15" s="48">
        <v>429</v>
      </c>
      <c r="H15" s="48"/>
      <c r="I15" s="93">
        <v>449</v>
      </c>
      <c r="J15" s="48"/>
      <c r="K15" s="48"/>
      <c r="L15" s="96">
        <v>468</v>
      </c>
      <c r="M15" s="32">
        <f t="shared" si="0"/>
        <v>2681</v>
      </c>
      <c r="N15" s="29">
        <v>6</v>
      </c>
      <c r="O15" s="29">
        <v>2</v>
      </c>
      <c r="P15" s="29">
        <v>117</v>
      </c>
      <c r="Q15" s="29">
        <v>2</v>
      </c>
      <c r="R15" s="33">
        <v>1</v>
      </c>
      <c r="S15" s="33"/>
      <c r="T15" s="33"/>
    </row>
    <row r="16" spans="1:20" s="25" customFormat="1" ht="15.75">
      <c r="A16" s="20" t="s">
        <v>13</v>
      </c>
      <c r="B16" s="20" t="s">
        <v>21</v>
      </c>
      <c r="C16" s="92">
        <v>457</v>
      </c>
      <c r="D16" s="92">
        <v>470</v>
      </c>
      <c r="E16" s="47"/>
      <c r="F16" s="47">
        <v>417</v>
      </c>
      <c r="G16" s="47">
        <v>418</v>
      </c>
      <c r="H16" s="47"/>
      <c r="I16" s="47">
        <v>419</v>
      </c>
      <c r="J16" s="47"/>
      <c r="K16" s="47"/>
      <c r="L16" s="102">
        <v>439</v>
      </c>
      <c r="M16" s="23">
        <f>SUM(C16:L16)</f>
        <v>2620</v>
      </c>
      <c r="N16" s="20">
        <v>5</v>
      </c>
      <c r="O16" s="20">
        <v>3</v>
      </c>
      <c r="P16" s="20">
        <v>50</v>
      </c>
      <c r="Q16" s="20">
        <v>2</v>
      </c>
      <c r="R16" s="24">
        <v>1</v>
      </c>
      <c r="S16" s="24"/>
      <c r="T16" s="24"/>
    </row>
    <row r="17" spans="1:20" s="34" customFormat="1" ht="16.5" thickBot="1">
      <c r="A17" s="29" t="s">
        <v>14</v>
      </c>
      <c r="B17" s="29" t="s">
        <v>19</v>
      </c>
      <c r="C17" s="170">
        <v>432</v>
      </c>
      <c r="D17" s="50">
        <v>370</v>
      </c>
      <c r="E17" s="50"/>
      <c r="F17" s="50">
        <v>410</v>
      </c>
      <c r="G17" s="50"/>
      <c r="H17" s="50"/>
      <c r="I17" s="170">
        <v>444</v>
      </c>
      <c r="J17" s="50"/>
      <c r="K17" s="50">
        <v>381</v>
      </c>
      <c r="L17" s="174">
        <v>452</v>
      </c>
      <c r="M17" s="46">
        <f>SUM(C17:L17)</f>
        <v>2489</v>
      </c>
      <c r="N17" s="43">
        <v>3</v>
      </c>
      <c r="O17" s="43">
        <v>5</v>
      </c>
      <c r="P17" s="46">
        <f>M17-2556</f>
        <v>-67</v>
      </c>
      <c r="Q17" s="43">
        <v>0</v>
      </c>
      <c r="R17" s="113"/>
      <c r="S17" s="113"/>
      <c r="T17" s="113">
        <v>1</v>
      </c>
    </row>
    <row r="18" spans="3:20" ht="16.5" thickTop="1">
      <c r="C18" s="6">
        <f aca="true" t="shared" si="1" ref="C18:L18">SUM(C3:C17)</f>
        <v>6108</v>
      </c>
      <c r="D18" s="6">
        <f t="shared" si="1"/>
        <v>6048</v>
      </c>
      <c r="E18" s="6">
        <f t="shared" si="1"/>
        <v>399</v>
      </c>
      <c r="F18" s="6">
        <f t="shared" si="1"/>
        <v>6566</v>
      </c>
      <c r="G18" s="6">
        <f t="shared" si="1"/>
        <v>1624</v>
      </c>
      <c r="H18" s="6">
        <f t="shared" si="1"/>
        <v>746</v>
      </c>
      <c r="I18" s="6">
        <f t="shared" si="1"/>
        <v>6414</v>
      </c>
      <c r="J18" s="6">
        <f t="shared" si="1"/>
        <v>342</v>
      </c>
      <c r="K18" s="6">
        <f t="shared" si="1"/>
        <v>3661</v>
      </c>
      <c r="L18" s="6">
        <f t="shared" si="1"/>
        <v>6599</v>
      </c>
      <c r="R18" s="2">
        <f>SUM(R3:R17)</f>
        <v>6</v>
      </c>
      <c r="S18" s="2">
        <f>SUM(S3:S17)</f>
        <v>0</v>
      </c>
      <c r="T18" s="2">
        <f>SUM(T3:T17)</f>
        <v>9</v>
      </c>
    </row>
    <row r="19" spans="2:12" ht="15.75">
      <c r="B19" s="1" t="s">
        <v>249</v>
      </c>
      <c r="C19" s="6">
        <f>COUNT(C3:C17)</f>
        <v>14</v>
      </c>
      <c r="D19" s="6">
        <f aca="true" t="shared" si="2" ref="D19:L19">COUNT(D3:D17)</f>
        <v>14</v>
      </c>
      <c r="E19" s="6">
        <f t="shared" si="2"/>
        <v>1</v>
      </c>
      <c r="F19" s="6">
        <f t="shared" si="2"/>
        <v>15</v>
      </c>
      <c r="G19" s="6">
        <f t="shared" si="2"/>
        <v>4</v>
      </c>
      <c r="H19" s="6">
        <f t="shared" si="2"/>
        <v>2</v>
      </c>
      <c r="I19" s="6">
        <f t="shared" si="2"/>
        <v>15</v>
      </c>
      <c r="J19" s="6">
        <f t="shared" si="2"/>
        <v>1</v>
      </c>
      <c r="K19" s="6">
        <f t="shared" si="2"/>
        <v>9</v>
      </c>
      <c r="L19" s="6">
        <f t="shared" si="2"/>
        <v>15</v>
      </c>
    </row>
    <row r="20" spans="2:20" ht="31.5">
      <c r="B20" s="12" t="s">
        <v>129</v>
      </c>
      <c r="C20" s="17">
        <f>AVERAGE(C3:C17)</f>
        <v>436.2857142857143</v>
      </c>
      <c r="D20" s="17">
        <f aca="true" t="shared" si="3" ref="D20:L20">AVERAGE(D3:D17)</f>
        <v>432</v>
      </c>
      <c r="E20" s="17">
        <f t="shared" si="3"/>
        <v>399</v>
      </c>
      <c r="F20" s="17">
        <f t="shared" si="3"/>
        <v>437.73333333333335</v>
      </c>
      <c r="G20" s="17">
        <f t="shared" si="3"/>
        <v>406</v>
      </c>
      <c r="H20" s="17">
        <f t="shared" si="3"/>
        <v>373</v>
      </c>
      <c r="I20" s="17">
        <f t="shared" si="3"/>
        <v>427.6</v>
      </c>
      <c r="J20" s="17">
        <f t="shared" si="3"/>
        <v>342</v>
      </c>
      <c r="K20" s="17">
        <f t="shared" si="3"/>
        <v>406.77777777777777</v>
      </c>
      <c r="L20" s="17">
        <f t="shared" si="3"/>
        <v>439.93333333333334</v>
      </c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S20" s="105" t="s">
        <v>128</v>
      </c>
      <c r="T20" s="105" t="s">
        <v>247</v>
      </c>
    </row>
    <row r="21" spans="13:20" ht="15.75">
      <c r="M21" s="6">
        <f>SUM(M3:M17)</f>
        <v>38507</v>
      </c>
      <c r="N21" s="1">
        <f>SUM(N3:N17)</f>
        <v>59</v>
      </c>
      <c r="O21" s="1">
        <f>SUM(O3:O17)</f>
        <v>61</v>
      </c>
      <c r="P21" s="1">
        <f>SUM(P3:P17)</f>
        <v>293</v>
      </c>
      <c r="Q21" s="1">
        <f>SUM(Q3:Q17)</f>
        <v>12</v>
      </c>
      <c r="S21" s="2">
        <f>N21-O21</f>
        <v>-2</v>
      </c>
      <c r="T21" s="2">
        <f>SUM(R18:T18)</f>
        <v>15</v>
      </c>
    </row>
    <row r="22" spans="3:4" ht="15.75">
      <c r="C22" s="270" t="s">
        <v>40</v>
      </c>
      <c r="D22" s="270"/>
    </row>
    <row r="23" spans="3:14" ht="15.75">
      <c r="C23" s="268" t="s">
        <v>134</v>
      </c>
      <c r="D23" s="268"/>
      <c r="E23" s="20"/>
      <c r="M23" s="1" t="s">
        <v>130</v>
      </c>
      <c r="N23" s="19">
        <f>M21/T21</f>
        <v>2567.133333333333</v>
      </c>
    </row>
    <row r="24" spans="3:14" ht="15.75">
      <c r="C24" s="269" t="s">
        <v>135</v>
      </c>
      <c r="D24" s="269"/>
      <c r="M24" s="1" t="s">
        <v>260</v>
      </c>
      <c r="N24" s="6">
        <f>M4+M6+M8+M10+M12+M15+M17+M30+M31+M33+M35+M37+M39+M41+M43</f>
        <v>38208</v>
      </c>
    </row>
    <row r="25" spans="10:14" ht="15.75">
      <c r="J25" s="262" t="s">
        <v>154</v>
      </c>
      <c r="K25" s="262"/>
      <c r="L25" s="12" t="s">
        <v>155</v>
      </c>
      <c r="M25" s="262" t="s">
        <v>128</v>
      </c>
      <c r="N25" s="262"/>
    </row>
    <row r="26" spans="1:14" ht="15.75">
      <c r="A26" s="73" t="s">
        <v>144</v>
      </c>
      <c r="B26" s="74"/>
      <c r="C26" s="73" t="s">
        <v>149</v>
      </c>
      <c r="D26" s="76"/>
      <c r="E26" s="74" t="s">
        <v>142</v>
      </c>
      <c r="F26" s="266" t="s">
        <v>143</v>
      </c>
      <c r="G26" s="266"/>
      <c r="J26" s="1">
        <f>N21+N45</f>
        <v>125</v>
      </c>
      <c r="K26" s="1">
        <f>O21+O45</f>
        <v>115</v>
      </c>
      <c r="L26" s="1">
        <f>Q21+Q45</f>
        <v>31</v>
      </c>
      <c r="M26" s="267">
        <f>J26-K26</f>
        <v>10</v>
      </c>
      <c r="N26" s="267"/>
    </row>
    <row r="27" ht="15.75">
      <c r="F27" s="56"/>
    </row>
    <row r="29" spans="2:20" ht="34.5" customHeight="1" thickBot="1">
      <c r="B29" s="3" t="s">
        <v>25</v>
      </c>
      <c r="C29" s="9" t="s">
        <v>65</v>
      </c>
      <c r="D29" s="9" t="s">
        <v>64</v>
      </c>
      <c r="E29" s="9" t="s">
        <v>206</v>
      </c>
      <c r="F29" s="9" t="s">
        <v>63</v>
      </c>
      <c r="G29" s="9" t="s">
        <v>62</v>
      </c>
      <c r="H29" s="9" t="s">
        <v>61</v>
      </c>
      <c r="I29" s="9" t="s">
        <v>245</v>
      </c>
      <c r="J29" s="9" t="s">
        <v>114</v>
      </c>
      <c r="K29" s="9" t="s">
        <v>125</v>
      </c>
      <c r="L29" s="9" t="s">
        <v>107</v>
      </c>
      <c r="M29" s="3" t="s">
        <v>30</v>
      </c>
      <c r="N29" s="3" t="s">
        <v>20</v>
      </c>
      <c r="O29" s="3" t="s">
        <v>29</v>
      </c>
      <c r="P29" s="3" t="s">
        <v>31</v>
      </c>
      <c r="Q29" s="11" t="s">
        <v>116</v>
      </c>
      <c r="R29" s="2" t="s">
        <v>191</v>
      </c>
      <c r="S29" s="2" t="s">
        <v>192</v>
      </c>
      <c r="T29" s="2" t="s">
        <v>193</v>
      </c>
    </row>
    <row r="30" spans="1:20" s="158" customFormat="1" ht="15.75">
      <c r="A30" s="154" t="s">
        <v>221</v>
      </c>
      <c r="B30" s="154" t="s">
        <v>26</v>
      </c>
      <c r="C30" s="163">
        <v>418</v>
      </c>
      <c r="D30" s="163">
        <v>411</v>
      </c>
      <c r="E30" s="169"/>
      <c r="F30" s="163">
        <v>414</v>
      </c>
      <c r="G30" s="163">
        <v>390</v>
      </c>
      <c r="H30" s="163"/>
      <c r="I30" s="163">
        <v>419</v>
      </c>
      <c r="J30" s="163"/>
      <c r="K30" s="163"/>
      <c r="L30" s="163">
        <v>416</v>
      </c>
      <c r="M30" s="156">
        <f aca="true" t="shared" si="4" ref="M30:M44">SUM(C30:L30)</f>
        <v>2468</v>
      </c>
      <c r="N30" s="154">
        <v>0</v>
      </c>
      <c r="O30" s="154">
        <v>8</v>
      </c>
      <c r="P30" s="154">
        <v>-289</v>
      </c>
      <c r="Q30" s="154">
        <v>0</v>
      </c>
      <c r="T30" s="158">
        <v>1</v>
      </c>
    </row>
    <row r="31" spans="1:20" s="158" customFormat="1" ht="15.75">
      <c r="A31" s="154" t="s">
        <v>222</v>
      </c>
      <c r="B31" s="154" t="s">
        <v>18</v>
      </c>
      <c r="C31" s="181">
        <v>478</v>
      </c>
      <c r="D31" s="163">
        <v>409</v>
      </c>
      <c r="E31" s="163"/>
      <c r="F31" s="181">
        <v>442</v>
      </c>
      <c r="G31" s="163"/>
      <c r="H31" s="163"/>
      <c r="I31" s="163">
        <v>416</v>
      </c>
      <c r="J31" s="163"/>
      <c r="K31" s="181">
        <v>421</v>
      </c>
      <c r="L31" s="163">
        <v>404</v>
      </c>
      <c r="M31" s="156">
        <f t="shared" si="4"/>
        <v>2570</v>
      </c>
      <c r="N31" s="154">
        <v>3</v>
      </c>
      <c r="O31" s="154">
        <v>5</v>
      </c>
      <c r="P31" s="154">
        <v>-8</v>
      </c>
      <c r="Q31" s="154">
        <v>0</v>
      </c>
      <c r="T31" s="158">
        <v>1</v>
      </c>
    </row>
    <row r="32" spans="1:18" s="148" customFormat="1" ht="15.75">
      <c r="A32" s="144" t="s">
        <v>156</v>
      </c>
      <c r="B32" s="144" t="s">
        <v>216</v>
      </c>
      <c r="C32" s="166">
        <v>424</v>
      </c>
      <c r="D32" s="182">
        <v>431</v>
      </c>
      <c r="E32" s="165"/>
      <c r="F32" s="182">
        <v>438</v>
      </c>
      <c r="G32" s="165"/>
      <c r="H32" s="165"/>
      <c r="I32" s="165">
        <v>422</v>
      </c>
      <c r="J32" s="165"/>
      <c r="K32" s="165">
        <v>421</v>
      </c>
      <c r="L32" s="182">
        <v>428</v>
      </c>
      <c r="M32" s="146">
        <f t="shared" si="4"/>
        <v>2564</v>
      </c>
      <c r="N32" s="144">
        <v>5</v>
      </c>
      <c r="O32" s="144">
        <v>3</v>
      </c>
      <c r="P32" s="144">
        <v>216</v>
      </c>
      <c r="Q32" s="144">
        <v>2</v>
      </c>
      <c r="R32" s="148">
        <v>1</v>
      </c>
    </row>
    <row r="33" spans="1:18" s="158" customFormat="1" ht="15.75">
      <c r="A33" s="154" t="s">
        <v>157</v>
      </c>
      <c r="B33" s="154" t="s">
        <v>223</v>
      </c>
      <c r="C33" s="181">
        <v>465</v>
      </c>
      <c r="D33" s="181">
        <v>433</v>
      </c>
      <c r="E33" s="169"/>
      <c r="F33" s="181">
        <v>447</v>
      </c>
      <c r="G33" s="163"/>
      <c r="H33" s="163"/>
      <c r="I33" s="181">
        <v>446</v>
      </c>
      <c r="J33" s="163"/>
      <c r="K33" s="181">
        <v>453</v>
      </c>
      <c r="L33" s="163">
        <v>433</v>
      </c>
      <c r="M33" s="156">
        <f t="shared" si="4"/>
        <v>2677</v>
      </c>
      <c r="N33" s="154">
        <v>7</v>
      </c>
      <c r="O33" s="154">
        <v>1</v>
      </c>
      <c r="P33" s="154">
        <f>M33-2490</f>
        <v>187</v>
      </c>
      <c r="Q33" s="154">
        <v>2</v>
      </c>
      <c r="R33" s="158">
        <v>1</v>
      </c>
    </row>
    <row r="34" spans="1:18" s="148" customFormat="1" ht="15.75">
      <c r="A34" s="144" t="s">
        <v>158</v>
      </c>
      <c r="B34" s="144" t="s">
        <v>22</v>
      </c>
      <c r="C34" s="182">
        <v>422</v>
      </c>
      <c r="D34" s="182">
        <v>405</v>
      </c>
      <c r="E34" s="165"/>
      <c r="F34" s="182">
        <v>439</v>
      </c>
      <c r="G34" s="165"/>
      <c r="H34" s="165"/>
      <c r="I34" s="182">
        <v>445</v>
      </c>
      <c r="J34" s="165"/>
      <c r="K34" s="165">
        <v>401</v>
      </c>
      <c r="L34" s="165">
        <v>402</v>
      </c>
      <c r="M34" s="146">
        <f t="shared" si="4"/>
        <v>2514</v>
      </c>
      <c r="N34" s="144">
        <v>6</v>
      </c>
      <c r="O34" s="144">
        <v>2</v>
      </c>
      <c r="P34" s="144">
        <v>80</v>
      </c>
      <c r="Q34" s="144">
        <v>2</v>
      </c>
      <c r="R34" s="148">
        <v>1</v>
      </c>
    </row>
    <row r="35" spans="1:20" s="158" customFormat="1" ht="15.75">
      <c r="A35" s="154" t="s">
        <v>159</v>
      </c>
      <c r="B35" s="154" t="s">
        <v>15</v>
      </c>
      <c r="C35" s="169">
        <v>404</v>
      </c>
      <c r="D35" s="181">
        <v>426</v>
      </c>
      <c r="E35" s="163"/>
      <c r="F35" s="181">
        <v>437</v>
      </c>
      <c r="G35" s="163"/>
      <c r="H35" s="163"/>
      <c r="I35" s="181">
        <v>428</v>
      </c>
      <c r="J35" s="163"/>
      <c r="K35" s="163">
        <v>423</v>
      </c>
      <c r="L35" s="163">
        <v>392</v>
      </c>
      <c r="M35" s="156">
        <f t="shared" si="4"/>
        <v>2510</v>
      </c>
      <c r="N35" s="154">
        <v>3</v>
      </c>
      <c r="O35" s="154">
        <v>5</v>
      </c>
      <c r="P35" s="154">
        <v>-15</v>
      </c>
      <c r="Q35" s="154">
        <v>0</v>
      </c>
      <c r="T35" s="158">
        <v>1</v>
      </c>
    </row>
    <row r="36" spans="1:19" s="148" customFormat="1" ht="15.75">
      <c r="A36" s="144" t="s">
        <v>160</v>
      </c>
      <c r="B36" s="144" t="s">
        <v>17</v>
      </c>
      <c r="C36" s="182">
        <v>446</v>
      </c>
      <c r="D36" s="182">
        <v>438</v>
      </c>
      <c r="E36" s="165"/>
      <c r="F36" s="182">
        <v>438</v>
      </c>
      <c r="G36" s="165">
        <v>428</v>
      </c>
      <c r="H36" s="165"/>
      <c r="I36" s="182">
        <v>471</v>
      </c>
      <c r="J36" s="165"/>
      <c r="K36" s="165"/>
      <c r="L36" s="165">
        <v>377</v>
      </c>
      <c r="M36" s="146">
        <f t="shared" si="4"/>
        <v>2598</v>
      </c>
      <c r="N36" s="144">
        <v>4</v>
      </c>
      <c r="O36" s="144">
        <v>4</v>
      </c>
      <c r="P36" s="144">
        <v>-1</v>
      </c>
      <c r="Q36" s="144">
        <v>1</v>
      </c>
      <c r="S36" s="148">
        <v>1</v>
      </c>
    </row>
    <row r="37" spans="1:18" s="158" customFormat="1" ht="15.75">
      <c r="A37" s="154" t="s">
        <v>161</v>
      </c>
      <c r="B37" s="154" t="s">
        <v>218</v>
      </c>
      <c r="C37" s="181">
        <v>423</v>
      </c>
      <c r="D37" s="163">
        <v>398</v>
      </c>
      <c r="E37" s="163"/>
      <c r="F37" s="181">
        <v>416</v>
      </c>
      <c r="G37" s="163"/>
      <c r="H37" s="163"/>
      <c r="I37" s="181">
        <v>440</v>
      </c>
      <c r="J37" s="163">
        <v>342</v>
      </c>
      <c r="K37" s="163">
        <v>383</v>
      </c>
      <c r="L37" s="163"/>
      <c r="M37" s="156">
        <f t="shared" si="4"/>
        <v>2402</v>
      </c>
      <c r="N37" s="154">
        <v>5</v>
      </c>
      <c r="O37" s="154">
        <v>3</v>
      </c>
      <c r="P37" s="154">
        <f>M37-2354</f>
        <v>48</v>
      </c>
      <c r="Q37" s="154">
        <v>2</v>
      </c>
      <c r="R37" s="158">
        <v>1</v>
      </c>
    </row>
    <row r="38" spans="1:20" s="148" customFormat="1" ht="15.75">
      <c r="A38" s="144" t="s">
        <v>162</v>
      </c>
      <c r="B38" s="144" t="s">
        <v>23</v>
      </c>
      <c r="C38" s="182">
        <v>425</v>
      </c>
      <c r="D38" s="182">
        <v>435</v>
      </c>
      <c r="E38" s="165"/>
      <c r="F38" s="165">
        <v>411</v>
      </c>
      <c r="G38" s="165"/>
      <c r="H38" s="165">
        <v>350</v>
      </c>
      <c r="I38" s="165">
        <v>412</v>
      </c>
      <c r="J38" s="165"/>
      <c r="K38" s="165">
        <v>398</v>
      </c>
      <c r="L38" s="165"/>
      <c r="M38" s="146">
        <f t="shared" si="4"/>
        <v>2431</v>
      </c>
      <c r="N38" s="144">
        <v>2</v>
      </c>
      <c r="O38" s="144">
        <v>6</v>
      </c>
      <c r="P38" s="144">
        <v>-67</v>
      </c>
      <c r="Q38" s="144">
        <v>0</v>
      </c>
      <c r="T38" s="148">
        <v>1</v>
      </c>
    </row>
    <row r="39" spans="1:18" s="158" customFormat="1" ht="15.75">
      <c r="A39" s="154" t="s">
        <v>163</v>
      </c>
      <c r="B39" s="154" t="s">
        <v>217</v>
      </c>
      <c r="C39" s="181">
        <v>439</v>
      </c>
      <c r="D39" s="181">
        <v>447</v>
      </c>
      <c r="E39" s="163"/>
      <c r="F39" s="163">
        <v>403</v>
      </c>
      <c r="G39" s="163">
        <v>421</v>
      </c>
      <c r="H39" s="163"/>
      <c r="I39" s="181">
        <v>430</v>
      </c>
      <c r="J39" s="163"/>
      <c r="K39" s="163">
        <v>377</v>
      </c>
      <c r="L39" s="163"/>
      <c r="M39" s="156">
        <f>SUM(C39:L39)</f>
        <v>2517</v>
      </c>
      <c r="N39" s="154">
        <v>5</v>
      </c>
      <c r="O39" s="154">
        <v>3</v>
      </c>
      <c r="P39" s="154">
        <v>6</v>
      </c>
      <c r="Q39" s="154">
        <v>2</v>
      </c>
      <c r="R39" s="158">
        <v>1</v>
      </c>
    </row>
    <row r="40" spans="1:18" s="148" customFormat="1" ht="15.75">
      <c r="A40" s="144" t="s">
        <v>164</v>
      </c>
      <c r="B40" s="144" t="s">
        <v>204</v>
      </c>
      <c r="C40" s="225">
        <v>448</v>
      </c>
      <c r="D40" s="165">
        <v>414</v>
      </c>
      <c r="E40" s="165"/>
      <c r="F40" s="225">
        <v>465</v>
      </c>
      <c r="G40" s="225">
        <v>416</v>
      </c>
      <c r="H40" s="165"/>
      <c r="I40" s="225">
        <v>450</v>
      </c>
      <c r="J40" s="165"/>
      <c r="K40" s="165">
        <v>410</v>
      </c>
      <c r="L40" s="165"/>
      <c r="M40" s="146">
        <f t="shared" si="4"/>
        <v>2603</v>
      </c>
      <c r="N40" s="144">
        <v>6</v>
      </c>
      <c r="O40" s="144">
        <v>2</v>
      </c>
      <c r="P40" s="144">
        <v>121</v>
      </c>
      <c r="Q40" s="144">
        <v>2</v>
      </c>
      <c r="R40" s="148">
        <v>1</v>
      </c>
    </row>
    <row r="41" spans="1:18" s="158" customFormat="1" ht="15.75">
      <c r="A41" s="154" t="s">
        <v>165</v>
      </c>
      <c r="B41" s="169" t="s">
        <v>214</v>
      </c>
      <c r="C41" s="224">
        <v>471</v>
      </c>
      <c r="D41" s="224">
        <v>423</v>
      </c>
      <c r="E41" s="163"/>
      <c r="F41" s="163"/>
      <c r="G41" s="163">
        <v>420</v>
      </c>
      <c r="H41" s="163"/>
      <c r="I41" s="163">
        <v>422</v>
      </c>
      <c r="J41" s="163"/>
      <c r="K41" s="163">
        <v>417</v>
      </c>
      <c r="L41" s="224">
        <v>441</v>
      </c>
      <c r="M41" s="156">
        <f t="shared" si="4"/>
        <v>2594</v>
      </c>
      <c r="N41" s="154">
        <v>5</v>
      </c>
      <c r="O41" s="154">
        <v>3</v>
      </c>
      <c r="P41" s="154">
        <f>M41-2392</f>
        <v>202</v>
      </c>
      <c r="Q41" s="154">
        <v>2</v>
      </c>
      <c r="R41" s="158">
        <v>1</v>
      </c>
    </row>
    <row r="42" spans="1:18" s="148" customFormat="1" ht="15.75">
      <c r="A42" s="144" t="s">
        <v>166</v>
      </c>
      <c r="B42" s="166" t="s">
        <v>19</v>
      </c>
      <c r="C42" s="225">
        <v>436</v>
      </c>
      <c r="D42" s="165">
        <v>413</v>
      </c>
      <c r="E42" s="165"/>
      <c r="F42" s="225">
        <v>421</v>
      </c>
      <c r="G42" s="165"/>
      <c r="H42" s="165"/>
      <c r="I42" s="225">
        <v>454</v>
      </c>
      <c r="J42" s="165"/>
      <c r="K42" s="165">
        <v>407</v>
      </c>
      <c r="L42" s="225">
        <v>433</v>
      </c>
      <c r="M42" s="146">
        <f t="shared" si="4"/>
        <v>2564</v>
      </c>
      <c r="N42" s="144">
        <v>6</v>
      </c>
      <c r="O42" s="144">
        <v>2</v>
      </c>
      <c r="P42" s="144">
        <f>M42-2499</f>
        <v>65</v>
      </c>
      <c r="Q42" s="144">
        <v>2</v>
      </c>
      <c r="R42" s="148">
        <v>1</v>
      </c>
    </row>
    <row r="43" spans="1:18" s="158" customFormat="1" ht="15.75">
      <c r="A43" s="154" t="s">
        <v>167</v>
      </c>
      <c r="B43" s="169" t="s">
        <v>21</v>
      </c>
      <c r="C43" s="224">
        <v>423</v>
      </c>
      <c r="D43" s="224">
        <v>450</v>
      </c>
      <c r="E43" s="163"/>
      <c r="F43" s="224">
        <v>432</v>
      </c>
      <c r="G43" s="163">
        <v>216</v>
      </c>
      <c r="H43" s="163">
        <v>164</v>
      </c>
      <c r="I43" s="224">
        <v>441</v>
      </c>
      <c r="J43" s="163"/>
      <c r="K43" s="163"/>
      <c r="L43" s="163">
        <v>403</v>
      </c>
      <c r="M43" s="156">
        <f t="shared" si="4"/>
        <v>2529</v>
      </c>
      <c r="N43" s="154">
        <v>6</v>
      </c>
      <c r="O43" s="154">
        <v>2</v>
      </c>
      <c r="P43" s="154">
        <v>84</v>
      </c>
      <c r="Q43" s="154">
        <v>2</v>
      </c>
      <c r="R43" s="158">
        <v>1</v>
      </c>
    </row>
    <row r="44" spans="1:20" s="148" customFormat="1" ht="16.5" thickBot="1">
      <c r="A44" s="144" t="s">
        <v>168</v>
      </c>
      <c r="B44" s="189" t="s">
        <v>24</v>
      </c>
      <c r="C44" s="233">
        <v>465</v>
      </c>
      <c r="D44" s="233">
        <v>454</v>
      </c>
      <c r="E44" s="167"/>
      <c r="F44" s="233">
        <v>457</v>
      </c>
      <c r="G44" s="167"/>
      <c r="H44" s="167"/>
      <c r="I44" s="167">
        <v>450</v>
      </c>
      <c r="J44" s="167"/>
      <c r="K44" s="167">
        <v>420</v>
      </c>
      <c r="L44" s="167">
        <v>442</v>
      </c>
      <c r="M44" s="152">
        <f t="shared" si="4"/>
        <v>2688</v>
      </c>
      <c r="N44" s="151">
        <v>3</v>
      </c>
      <c r="O44" s="151">
        <v>5</v>
      </c>
      <c r="P44" s="151">
        <v>-18</v>
      </c>
      <c r="Q44" s="151">
        <v>0</v>
      </c>
      <c r="R44" s="180"/>
      <c r="S44" s="180"/>
      <c r="T44" s="180">
        <v>1</v>
      </c>
    </row>
    <row r="45" spans="3:20" ht="16.5" thickTop="1">
      <c r="C45" s="7">
        <f>SUM(C30:C44)</f>
        <v>6587</v>
      </c>
      <c r="D45" s="7">
        <f aca="true" t="shared" si="5" ref="D45:L45">SUM(D30:D44)</f>
        <v>6387</v>
      </c>
      <c r="E45" s="7">
        <f t="shared" si="5"/>
        <v>0</v>
      </c>
      <c r="F45" s="7">
        <f t="shared" si="5"/>
        <v>6060</v>
      </c>
      <c r="G45" s="7">
        <f>SUM(G30:G42)</f>
        <v>2075</v>
      </c>
      <c r="H45" s="7">
        <f>SUM(H30:H42)</f>
        <v>350</v>
      </c>
      <c r="I45" s="7">
        <f>SUM(I30:I44)</f>
        <v>6546</v>
      </c>
      <c r="J45" s="7">
        <f t="shared" si="5"/>
        <v>342</v>
      </c>
      <c r="K45" s="7">
        <f t="shared" si="5"/>
        <v>4931</v>
      </c>
      <c r="L45" s="7">
        <f t="shared" si="5"/>
        <v>4571</v>
      </c>
      <c r="N45" s="1">
        <f>SUM(N30:N44)</f>
        <v>66</v>
      </c>
      <c r="O45" s="1">
        <f>SUM(O30:O44)</f>
        <v>54</v>
      </c>
      <c r="P45" s="1">
        <f>SUM(P30:P44)</f>
        <v>611</v>
      </c>
      <c r="Q45" s="1">
        <f>SUM(Q30:Q44)</f>
        <v>19</v>
      </c>
      <c r="R45" s="1">
        <f>SUM(R30:R44)+R18</f>
        <v>15</v>
      </c>
      <c r="S45" s="1">
        <f>SUM(S30:S44)+S18</f>
        <v>1</v>
      </c>
      <c r="T45" s="1">
        <f>SUM(T30:T44)+T18</f>
        <v>14</v>
      </c>
    </row>
    <row r="46" spans="2:12" ht="31.5">
      <c r="B46" s="83" t="s">
        <v>280</v>
      </c>
      <c r="C46" s="1">
        <f>COUNT(C30:C44)</f>
        <v>15</v>
      </c>
      <c r="D46" s="1">
        <f aca="true" t="shared" si="6" ref="D46:L46">COUNT(D30:D44)</f>
        <v>15</v>
      </c>
      <c r="E46" s="1">
        <f t="shared" si="6"/>
        <v>0</v>
      </c>
      <c r="F46" s="1">
        <f t="shared" si="6"/>
        <v>14</v>
      </c>
      <c r="G46" s="1">
        <f>COUNT(G30:G42)</f>
        <v>5</v>
      </c>
      <c r="H46" s="1">
        <f>COUNT(H30:H42)</f>
        <v>1</v>
      </c>
      <c r="I46" s="1">
        <f t="shared" si="6"/>
        <v>15</v>
      </c>
      <c r="J46" s="1">
        <f t="shared" si="6"/>
        <v>1</v>
      </c>
      <c r="K46" s="1">
        <f t="shared" si="6"/>
        <v>12</v>
      </c>
      <c r="L46" s="1">
        <f t="shared" si="6"/>
        <v>11</v>
      </c>
    </row>
    <row r="47" spans="2:20" ht="31.5">
      <c r="B47" s="12" t="s">
        <v>275</v>
      </c>
      <c r="C47" s="17">
        <f>C45/C46</f>
        <v>439.1333333333333</v>
      </c>
      <c r="D47" s="17">
        <f aca="true" t="shared" si="7" ref="D47:L47">D45/D46</f>
        <v>425.8</v>
      </c>
      <c r="E47" s="17"/>
      <c r="F47" s="17">
        <f t="shared" si="7"/>
        <v>432.85714285714283</v>
      </c>
      <c r="G47" s="17">
        <f t="shared" si="7"/>
        <v>415</v>
      </c>
      <c r="H47" s="17">
        <f t="shared" si="7"/>
        <v>350</v>
      </c>
      <c r="I47" s="17">
        <f t="shared" si="7"/>
        <v>436.4</v>
      </c>
      <c r="J47" s="17"/>
      <c r="K47" s="17">
        <f t="shared" si="7"/>
        <v>410.9166666666667</v>
      </c>
      <c r="L47" s="17">
        <f t="shared" si="7"/>
        <v>415.54545454545456</v>
      </c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3:20" ht="15.75">
      <c r="M48" s="6">
        <f>SUM(M30:M44)+M21</f>
        <v>76736</v>
      </c>
      <c r="N48" s="6">
        <f>SUM(N30:N44)+N21</f>
        <v>125</v>
      </c>
      <c r="O48" s="6">
        <f>SUM(O30:O44)+O21</f>
        <v>115</v>
      </c>
      <c r="P48" s="6">
        <f>SUM(P30:P44)+P21</f>
        <v>904</v>
      </c>
      <c r="Q48" s="6">
        <f>SUM(Q30:Q44)+Q21</f>
        <v>31</v>
      </c>
      <c r="S48" s="2">
        <f>N48-O48</f>
        <v>10</v>
      </c>
      <c r="T48" s="2">
        <f>SUM(R45:T45)</f>
        <v>30</v>
      </c>
    </row>
    <row r="50" spans="13:14" ht="15.75">
      <c r="M50" s="1" t="s">
        <v>130</v>
      </c>
      <c r="N50" s="19">
        <f>M48/T48</f>
        <v>2557.866666666667</v>
      </c>
    </row>
  </sheetData>
  <sheetProtection/>
  <mergeCells count="11">
    <mergeCell ref="C1:L1"/>
    <mergeCell ref="N1:O1"/>
    <mergeCell ref="C22:D22"/>
    <mergeCell ref="N20:O20"/>
    <mergeCell ref="C23:D23"/>
    <mergeCell ref="N47:O47"/>
    <mergeCell ref="F26:G26"/>
    <mergeCell ref="J25:K25"/>
    <mergeCell ref="M25:N25"/>
    <mergeCell ref="M26:N26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T50"/>
  <sheetViews>
    <sheetView zoomScale="90" zoomScaleNormal="90" zoomScalePageLayoutView="0" workbookViewId="0" topLeftCell="B23">
      <selection activeCell="P45" sqref="P45"/>
    </sheetView>
  </sheetViews>
  <sheetFormatPr defaultColWidth="9.00390625" defaultRowHeight="12.75"/>
  <cols>
    <col min="1" max="1" width="11.25390625" style="1" bestFit="1" customWidth="1"/>
    <col min="2" max="2" width="13.875" style="1" customWidth="1"/>
    <col min="3" max="3" width="9.125" style="1" customWidth="1"/>
    <col min="4" max="4" width="14.00390625" style="1" customWidth="1"/>
    <col min="5" max="5" width="9.125" style="1" customWidth="1"/>
    <col min="6" max="6" width="11.375" style="1" customWidth="1"/>
    <col min="7" max="10" width="9.125" style="1" customWidth="1"/>
    <col min="11" max="11" width="12.00390625" style="1" customWidth="1"/>
    <col min="12" max="12" width="11.875" style="1" customWidth="1"/>
    <col min="13" max="13" width="16.7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4.625" style="1" customWidth="1"/>
    <col min="19" max="19" width="12.25390625" style="0" customWidth="1"/>
    <col min="20" max="20" width="12.12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N1" s="265" t="s">
        <v>28</v>
      </c>
      <c r="O1" s="265"/>
      <c r="R1" s="2"/>
      <c r="S1" s="2"/>
      <c r="T1" s="2"/>
    </row>
    <row r="2" spans="2:20" ht="34.5" customHeight="1" thickBot="1">
      <c r="B2" s="3" t="s">
        <v>25</v>
      </c>
      <c r="C2" s="9" t="s">
        <v>77</v>
      </c>
      <c r="D2" s="9" t="s">
        <v>78</v>
      </c>
      <c r="E2" s="9" t="s">
        <v>79</v>
      </c>
      <c r="F2" s="9" t="s">
        <v>80</v>
      </c>
      <c r="G2" s="9" t="s">
        <v>81</v>
      </c>
      <c r="H2" s="9" t="s">
        <v>257</v>
      </c>
      <c r="I2" s="9" t="s">
        <v>126</v>
      </c>
      <c r="J2" s="9" t="s">
        <v>82</v>
      </c>
      <c r="K2" s="9" t="s">
        <v>101</v>
      </c>
      <c r="L2" s="9" t="s">
        <v>205</v>
      </c>
      <c r="M2" s="3" t="s">
        <v>30</v>
      </c>
      <c r="N2" s="90" t="s">
        <v>214</v>
      </c>
      <c r="O2" s="3" t="s">
        <v>29</v>
      </c>
      <c r="P2" s="3" t="s">
        <v>31</v>
      </c>
      <c r="Q2" s="11" t="s">
        <v>116</v>
      </c>
      <c r="R2" s="2" t="s">
        <v>191</v>
      </c>
      <c r="S2" s="2" t="s">
        <v>192</v>
      </c>
      <c r="T2" s="2" t="s">
        <v>193</v>
      </c>
    </row>
    <row r="3" spans="1:20" s="34" customFormat="1" ht="15.75">
      <c r="A3" s="29" t="s">
        <v>0</v>
      </c>
      <c r="B3" s="29" t="s">
        <v>20</v>
      </c>
      <c r="C3" s="48">
        <v>410</v>
      </c>
      <c r="D3" s="48"/>
      <c r="E3" s="93">
        <v>450</v>
      </c>
      <c r="F3" s="93">
        <v>439</v>
      </c>
      <c r="G3" s="93">
        <v>442</v>
      </c>
      <c r="H3" s="48"/>
      <c r="I3" s="48">
        <v>437</v>
      </c>
      <c r="J3" s="48">
        <v>428</v>
      </c>
      <c r="K3" s="48"/>
      <c r="L3" s="44"/>
      <c r="M3" s="32">
        <f>SUM(C3:L3)</f>
        <v>2606</v>
      </c>
      <c r="N3" s="29">
        <v>5</v>
      </c>
      <c r="O3" s="29">
        <v>3</v>
      </c>
      <c r="P3" s="32">
        <f>M3-2592</f>
        <v>14</v>
      </c>
      <c r="Q3" s="29">
        <v>2</v>
      </c>
      <c r="R3" s="33">
        <v>1</v>
      </c>
      <c r="S3" s="33"/>
      <c r="T3" s="33"/>
    </row>
    <row r="4" spans="1:20" s="25" customFormat="1" ht="15.75">
      <c r="A4" s="20" t="s">
        <v>1</v>
      </c>
      <c r="B4" s="20" t="s">
        <v>24</v>
      </c>
      <c r="C4" s="92">
        <v>452</v>
      </c>
      <c r="D4" s="47"/>
      <c r="E4" s="47"/>
      <c r="F4" s="47">
        <v>417</v>
      </c>
      <c r="G4" s="92">
        <v>431</v>
      </c>
      <c r="H4" s="47"/>
      <c r="I4" s="47">
        <v>379</v>
      </c>
      <c r="J4" s="92">
        <v>432</v>
      </c>
      <c r="K4" s="47">
        <v>415</v>
      </c>
      <c r="L4" s="39"/>
      <c r="M4" s="23">
        <f aca="true" t="shared" si="0" ref="M4:M17">SUM(C4:L4)</f>
        <v>2526</v>
      </c>
      <c r="N4" s="20">
        <v>3</v>
      </c>
      <c r="O4" s="20">
        <v>5</v>
      </c>
      <c r="P4" s="23">
        <f>M4-2573</f>
        <v>-47</v>
      </c>
      <c r="Q4" s="20">
        <v>0</v>
      </c>
      <c r="R4" s="24"/>
      <c r="S4" s="24"/>
      <c r="T4" s="24">
        <v>1</v>
      </c>
    </row>
    <row r="5" spans="1:20" s="34" customFormat="1" ht="15.75">
      <c r="A5" s="29" t="s">
        <v>2</v>
      </c>
      <c r="B5" s="29" t="s">
        <v>21</v>
      </c>
      <c r="C5" s="93">
        <v>442</v>
      </c>
      <c r="D5" s="48"/>
      <c r="E5" s="93">
        <v>440</v>
      </c>
      <c r="F5" s="48">
        <v>400</v>
      </c>
      <c r="G5" s="93">
        <v>439</v>
      </c>
      <c r="H5" s="48"/>
      <c r="I5" s="48"/>
      <c r="J5" s="48">
        <v>432</v>
      </c>
      <c r="K5" s="93">
        <v>435</v>
      </c>
      <c r="L5" s="44"/>
      <c r="M5" s="32">
        <f t="shared" si="0"/>
        <v>2588</v>
      </c>
      <c r="N5" s="29">
        <v>6</v>
      </c>
      <c r="O5" s="29">
        <v>2</v>
      </c>
      <c r="P5" s="32">
        <v>80</v>
      </c>
      <c r="Q5" s="29">
        <v>2</v>
      </c>
      <c r="R5" s="33">
        <v>1</v>
      </c>
      <c r="S5" s="33"/>
      <c r="T5" s="33"/>
    </row>
    <row r="6" spans="1:20" s="25" customFormat="1" ht="15.75">
      <c r="A6" s="20" t="s">
        <v>3</v>
      </c>
      <c r="B6" s="20" t="s">
        <v>19</v>
      </c>
      <c r="C6" s="92">
        <v>448</v>
      </c>
      <c r="D6" s="47"/>
      <c r="E6" s="92">
        <v>436</v>
      </c>
      <c r="F6" s="92">
        <v>432</v>
      </c>
      <c r="G6" s="92">
        <v>441</v>
      </c>
      <c r="H6" s="47"/>
      <c r="I6" s="47"/>
      <c r="J6" s="47">
        <v>423</v>
      </c>
      <c r="K6" s="47">
        <v>389</v>
      </c>
      <c r="L6" s="39"/>
      <c r="M6" s="23">
        <f t="shared" si="0"/>
        <v>2569</v>
      </c>
      <c r="N6" s="20">
        <v>6</v>
      </c>
      <c r="O6" s="20">
        <v>2</v>
      </c>
      <c r="P6" s="23">
        <v>79</v>
      </c>
      <c r="Q6" s="20">
        <v>2</v>
      </c>
      <c r="R6" s="24">
        <v>1</v>
      </c>
      <c r="S6" s="24"/>
      <c r="T6" s="24"/>
    </row>
    <row r="7" spans="1:20" s="34" customFormat="1" ht="15.75">
      <c r="A7" s="29" t="s">
        <v>4</v>
      </c>
      <c r="B7" s="29" t="s">
        <v>26</v>
      </c>
      <c r="C7" s="93">
        <v>458</v>
      </c>
      <c r="D7" s="48"/>
      <c r="E7" s="48">
        <v>424</v>
      </c>
      <c r="F7" s="48">
        <v>422</v>
      </c>
      <c r="G7" s="93">
        <v>439</v>
      </c>
      <c r="H7" s="48"/>
      <c r="I7" s="48">
        <v>437</v>
      </c>
      <c r="J7" s="48">
        <v>410</v>
      </c>
      <c r="K7" s="48"/>
      <c r="L7" s="44"/>
      <c r="M7" s="32">
        <f t="shared" si="0"/>
        <v>2590</v>
      </c>
      <c r="N7" s="29">
        <v>2</v>
      </c>
      <c r="O7" s="29">
        <v>6</v>
      </c>
      <c r="P7" s="32">
        <v>-97</v>
      </c>
      <c r="Q7" s="29">
        <v>0</v>
      </c>
      <c r="R7" s="33"/>
      <c r="S7" s="33"/>
      <c r="T7" s="33">
        <v>1</v>
      </c>
    </row>
    <row r="8" spans="1:20" s="34" customFormat="1" ht="15.75">
      <c r="A8" s="29" t="s">
        <v>5</v>
      </c>
      <c r="B8" s="29" t="s">
        <v>204</v>
      </c>
      <c r="C8" s="48">
        <v>403</v>
      </c>
      <c r="D8" s="48"/>
      <c r="E8" s="48">
        <v>396</v>
      </c>
      <c r="F8" s="48">
        <v>405</v>
      </c>
      <c r="G8" s="93">
        <v>427</v>
      </c>
      <c r="H8" s="48"/>
      <c r="I8" s="48">
        <v>377</v>
      </c>
      <c r="J8" s="93">
        <v>426</v>
      </c>
      <c r="K8" s="48"/>
      <c r="L8" s="44"/>
      <c r="M8" s="32">
        <f t="shared" si="0"/>
        <v>2434</v>
      </c>
      <c r="N8" s="29">
        <v>2</v>
      </c>
      <c r="O8" s="29">
        <v>6</v>
      </c>
      <c r="P8" s="32">
        <v>-103</v>
      </c>
      <c r="Q8" s="29">
        <v>0</v>
      </c>
      <c r="R8" s="33"/>
      <c r="S8" s="33"/>
      <c r="T8" s="33">
        <v>1</v>
      </c>
    </row>
    <row r="9" spans="1:20" s="25" customFormat="1" ht="15.75">
      <c r="A9" s="20" t="s">
        <v>6</v>
      </c>
      <c r="B9" s="37" t="s">
        <v>217</v>
      </c>
      <c r="C9" s="47">
        <v>426</v>
      </c>
      <c r="D9" s="47">
        <v>377</v>
      </c>
      <c r="E9" s="92">
        <v>445</v>
      </c>
      <c r="F9" s="47">
        <v>421</v>
      </c>
      <c r="G9" s="92">
        <v>463</v>
      </c>
      <c r="H9" s="47"/>
      <c r="I9" s="47"/>
      <c r="J9" s="47">
        <v>414</v>
      </c>
      <c r="K9" s="47"/>
      <c r="L9" s="39"/>
      <c r="M9" s="23">
        <f t="shared" si="0"/>
        <v>2546</v>
      </c>
      <c r="N9" s="20">
        <v>2</v>
      </c>
      <c r="O9" s="20">
        <v>6</v>
      </c>
      <c r="P9" s="23">
        <v>-31</v>
      </c>
      <c r="Q9" s="20">
        <v>0</v>
      </c>
      <c r="R9" s="24"/>
      <c r="S9" s="24"/>
      <c r="T9" s="24">
        <v>1</v>
      </c>
    </row>
    <row r="10" spans="1:20" s="34" customFormat="1" ht="15.75">
      <c r="A10" s="29" t="s">
        <v>7</v>
      </c>
      <c r="B10" s="29" t="s">
        <v>23</v>
      </c>
      <c r="C10" s="93">
        <v>444</v>
      </c>
      <c r="D10" s="48"/>
      <c r="E10" s="48">
        <v>393</v>
      </c>
      <c r="F10" s="93">
        <v>442</v>
      </c>
      <c r="G10" s="48">
        <v>414</v>
      </c>
      <c r="H10" s="48">
        <v>369</v>
      </c>
      <c r="I10" s="48">
        <v>400</v>
      </c>
      <c r="J10" s="48"/>
      <c r="K10" s="48"/>
      <c r="L10" s="44"/>
      <c r="M10" s="32">
        <f t="shared" si="0"/>
        <v>2462</v>
      </c>
      <c r="N10" s="29">
        <v>2</v>
      </c>
      <c r="O10" s="29">
        <v>6</v>
      </c>
      <c r="P10" s="32">
        <v>-167</v>
      </c>
      <c r="Q10" s="29">
        <v>0</v>
      </c>
      <c r="R10" s="33"/>
      <c r="S10" s="33"/>
      <c r="T10" s="33">
        <v>1</v>
      </c>
    </row>
    <row r="11" spans="1:20" s="25" customFormat="1" ht="15.75">
      <c r="A11" s="20" t="s">
        <v>8</v>
      </c>
      <c r="B11" s="20" t="s">
        <v>218</v>
      </c>
      <c r="C11" s="92">
        <v>433</v>
      </c>
      <c r="D11" s="47"/>
      <c r="E11" s="92">
        <v>453</v>
      </c>
      <c r="F11" s="92">
        <v>437</v>
      </c>
      <c r="G11" s="47">
        <v>425</v>
      </c>
      <c r="H11" s="47"/>
      <c r="I11" s="47"/>
      <c r="J11" s="47">
        <v>426</v>
      </c>
      <c r="K11" s="92">
        <v>436</v>
      </c>
      <c r="L11" s="39"/>
      <c r="M11" s="23">
        <f t="shared" si="0"/>
        <v>2610</v>
      </c>
      <c r="N11" s="20">
        <v>6</v>
      </c>
      <c r="O11" s="20">
        <v>2</v>
      </c>
      <c r="P11" s="23">
        <f>M11-2357</f>
        <v>253</v>
      </c>
      <c r="Q11" s="20">
        <v>2</v>
      </c>
      <c r="R11" s="24">
        <v>1</v>
      </c>
      <c r="S11" s="24"/>
      <c r="T11" s="24"/>
    </row>
    <row r="12" spans="1:20" s="34" customFormat="1" ht="15.75">
      <c r="A12" s="29" t="s">
        <v>9</v>
      </c>
      <c r="B12" s="29" t="s">
        <v>17</v>
      </c>
      <c r="C12" s="48"/>
      <c r="D12" s="48"/>
      <c r="E12" s="93">
        <v>467</v>
      </c>
      <c r="F12" s="48">
        <v>431</v>
      </c>
      <c r="G12" s="93">
        <v>443</v>
      </c>
      <c r="H12" s="48"/>
      <c r="I12" s="48">
        <v>402</v>
      </c>
      <c r="J12" s="48">
        <v>409</v>
      </c>
      <c r="K12" s="48">
        <v>429</v>
      </c>
      <c r="L12" s="44"/>
      <c r="M12" s="32">
        <f t="shared" si="0"/>
        <v>2581</v>
      </c>
      <c r="N12" s="29">
        <v>4</v>
      </c>
      <c r="O12" s="29">
        <v>4</v>
      </c>
      <c r="P12" s="32">
        <v>34</v>
      </c>
      <c r="Q12" s="29">
        <v>1</v>
      </c>
      <c r="R12" s="33"/>
      <c r="S12" s="33">
        <v>1</v>
      </c>
      <c r="T12" s="33"/>
    </row>
    <row r="13" spans="1:20" s="25" customFormat="1" ht="15.75">
      <c r="A13" s="20" t="s">
        <v>10</v>
      </c>
      <c r="B13" s="20" t="s">
        <v>15</v>
      </c>
      <c r="C13" s="47">
        <v>389</v>
      </c>
      <c r="D13" s="47"/>
      <c r="E13" s="92">
        <v>444</v>
      </c>
      <c r="F13" s="47">
        <v>381</v>
      </c>
      <c r="G13" s="92">
        <v>418</v>
      </c>
      <c r="H13" s="47"/>
      <c r="I13" s="47"/>
      <c r="J13" s="47">
        <v>384</v>
      </c>
      <c r="K13" s="47">
        <v>418</v>
      </c>
      <c r="L13" s="39"/>
      <c r="M13" s="23">
        <f t="shared" si="0"/>
        <v>2434</v>
      </c>
      <c r="N13" s="20">
        <v>2</v>
      </c>
      <c r="O13" s="20">
        <v>6</v>
      </c>
      <c r="P13" s="23">
        <v>-144</v>
      </c>
      <c r="Q13" s="20">
        <v>0</v>
      </c>
      <c r="R13" s="24"/>
      <c r="S13" s="24"/>
      <c r="T13" s="24">
        <v>1</v>
      </c>
    </row>
    <row r="14" spans="1:20" s="34" customFormat="1" ht="15.75">
      <c r="A14" s="29" t="s">
        <v>11</v>
      </c>
      <c r="B14" s="29" t="s">
        <v>22</v>
      </c>
      <c r="C14" s="48">
        <v>411</v>
      </c>
      <c r="D14" s="48"/>
      <c r="E14" s="93">
        <v>440</v>
      </c>
      <c r="F14" s="48">
        <v>416</v>
      </c>
      <c r="G14" s="93">
        <v>445</v>
      </c>
      <c r="H14" s="48"/>
      <c r="I14" s="93">
        <v>446</v>
      </c>
      <c r="J14" s="93">
        <v>425</v>
      </c>
      <c r="K14" s="48"/>
      <c r="L14" s="44"/>
      <c r="M14" s="32">
        <f t="shared" si="0"/>
        <v>2583</v>
      </c>
      <c r="N14" s="29">
        <v>6</v>
      </c>
      <c r="O14" s="29">
        <v>2</v>
      </c>
      <c r="P14" s="29">
        <v>167</v>
      </c>
      <c r="Q14" s="29">
        <v>2</v>
      </c>
      <c r="R14" s="33">
        <v>1</v>
      </c>
      <c r="S14" s="33"/>
      <c r="T14" s="33"/>
    </row>
    <row r="15" spans="1:20" s="25" customFormat="1" ht="15.75">
      <c r="A15" s="20" t="s">
        <v>12</v>
      </c>
      <c r="B15" s="20" t="s">
        <v>215</v>
      </c>
      <c r="C15" s="47">
        <v>417</v>
      </c>
      <c r="D15" s="47"/>
      <c r="E15" s="92">
        <v>463</v>
      </c>
      <c r="F15" s="92">
        <v>451</v>
      </c>
      <c r="G15" s="92">
        <v>455</v>
      </c>
      <c r="H15" s="47"/>
      <c r="I15" s="47">
        <v>414</v>
      </c>
      <c r="J15" s="92">
        <v>456</v>
      </c>
      <c r="K15" s="47"/>
      <c r="L15" s="39"/>
      <c r="M15" s="23">
        <f t="shared" si="0"/>
        <v>2656</v>
      </c>
      <c r="N15" s="20">
        <v>6</v>
      </c>
      <c r="O15" s="20">
        <v>2</v>
      </c>
      <c r="P15" s="20">
        <v>62</v>
      </c>
      <c r="Q15" s="20">
        <v>2</v>
      </c>
      <c r="R15" s="24">
        <v>1</v>
      </c>
      <c r="S15" s="24"/>
      <c r="T15" s="24"/>
    </row>
    <row r="16" spans="1:20" s="34" customFormat="1" ht="15.75">
      <c r="A16" s="29" t="s">
        <v>13</v>
      </c>
      <c r="B16" s="29" t="s">
        <v>16</v>
      </c>
      <c r="C16" s="48">
        <v>411</v>
      </c>
      <c r="D16" s="48"/>
      <c r="E16" s="93">
        <v>483</v>
      </c>
      <c r="F16" s="93">
        <v>440</v>
      </c>
      <c r="G16" s="93">
        <v>436</v>
      </c>
      <c r="H16" s="48"/>
      <c r="I16" s="48">
        <v>401</v>
      </c>
      <c r="J16" s="48">
        <v>413</v>
      </c>
      <c r="K16" s="48"/>
      <c r="L16" s="44"/>
      <c r="M16" s="32">
        <f t="shared" si="0"/>
        <v>2584</v>
      </c>
      <c r="N16" s="29">
        <v>3</v>
      </c>
      <c r="O16" s="29">
        <v>5</v>
      </c>
      <c r="P16" s="32">
        <v>-50</v>
      </c>
      <c r="Q16" s="29">
        <v>0</v>
      </c>
      <c r="R16" s="33"/>
      <c r="S16" s="33"/>
      <c r="T16" s="33">
        <v>1</v>
      </c>
    </row>
    <row r="17" spans="1:20" s="25" customFormat="1" ht="16.5" thickBot="1">
      <c r="A17" s="20" t="s">
        <v>14</v>
      </c>
      <c r="B17" s="20" t="s">
        <v>18</v>
      </c>
      <c r="C17" s="53">
        <v>407</v>
      </c>
      <c r="D17" s="53"/>
      <c r="E17" s="53"/>
      <c r="F17" s="53">
        <v>412</v>
      </c>
      <c r="G17" s="53">
        <v>432</v>
      </c>
      <c r="H17" s="53"/>
      <c r="I17" s="53">
        <v>417</v>
      </c>
      <c r="J17" s="53">
        <v>377</v>
      </c>
      <c r="K17" s="173">
        <v>436</v>
      </c>
      <c r="L17" s="54"/>
      <c r="M17" s="27">
        <f t="shared" si="0"/>
        <v>2481</v>
      </c>
      <c r="N17" s="28">
        <v>1</v>
      </c>
      <c r="O17" s="28">
        <v>7</v>
      </c>
      <c r="P17" s="27">
        <f>M17-2680</f>
        <v>-199</v>
      </c>
      <c r="Q17" s="28">
        <v>0</v>
      </c>
      <c r="R17" s="113"/>
      <c r="S17" s="113"/>
      <c r="T17" s="113">
        <v>1</v>
      </c>
    </row>
    <row r="18" spans="3:20" ht="16.5" thickTop="1">
      <c r="C18" s="6">
        <f aca="true" t="shared" si="1" ref="C18:L18">SUM(C3:C17)</f>
        <v>5951</v>
      </c>
      <c r="D18" s="6">
        <f t="shared" si="1"/>
        <v>377</v>
      </c>
      <c r="E18" s="6">
        <f t="shared" si="1"/>
        <v>5734</v>
      </c>
      <c r="F18" s="6">
        <f t="shared" si="1"/>
        <v>6346</v>
      </c>
      <c r="G18" s="6">
        <f t="shared" si="1"/>
        <v>6550</v>
      </c>
      <c r="H18" s="6">
        <f t="shared" si="1"/>
        <v>369</v>
      </c>
      <c r="I18" s="6">
        <f t="shared" si="1"/>
        <v>4110</v>
      </c>
      <c r="J18" s="6">
        <f t="shared" si="1"/>
        <v>5855</v>
      </c>
      <c r="K18" s="6">
        <f t="shared" si="1"/>
        <v>2958</v>
      </c>
      <c r="L18" s="6">
        <f t="shared" si="1"/>
        <v>0</v>
      </c>
      <c r="R18" s="2">
        <f>SUM(R3:R17)</f>
        <v>6</v>
      </c>
      <c r="S18" s="2">
        <f>SUM(S3:S17)</f>
        <v>1</v>
      </c>
      <c r="T18" s="2">
        <f>SUM(T3:T17)</f>
        <v>8</v>
      </c>
    </row>
    <row r="19" spans="2:12" ht="15.75">
      <c r="B19" s="1" t="s">
        <v>249</v>
      </c>
      <c r="C19" s="6">
        <f>COUNT(C3:C17)</f>
        <v>14</v>
      </c>
      <c r="D19" s="6">
        <f aca="true" t="shared" si="2" ref="D19:L19">COUNT(D3:D17)</f>
        <v>1</v>
      </c>
      <c r="E19" s="6">
        <f t="shared" si="2"/>
        <v>13</v>
      </c>
      <c r="F19" s="6">
        <f t="shared" si="2"/>
        <v>15</v>
      </c>
      <c r="G19" s="6">
        <f t="shared" si="2"/>
        <v>15</v>
      </c>
      <c r="H19" s="6">
        <f t="shared" si="2"/>
        <v>1</v>
      </c>
      <c r="I19" s="6">
        <f t="shared" si="2"/>
        <v>10</v>
      </c>
      <c r="J19" s="6">
        <f t="shared" si="2"/>
        <v>14</v>
      </c>
      <c r="K19" s="6">
        <f t="shared" si="2"/>
        <v>7</v>
      </c>
      <c r="L19" s="6">
        <f t="shared" si="2"/>
        <v>0</v>
      </c>
    </row>
    <row r="20" spans="2:20" ht="31.5">
      <c r="B20" s="12" t="s">
        <v>129</v>
      </c>
      <c r="C20" s="17">
        <f>AVERAGE(C3:C17)</f>
        <v>425.07142857142856</v>
      </c>
      <c r="D20" s="17">
        <f aca="true" t="shared" si="3" ref="D20:K20">AVERAGE(D3:D17)</f>
        <v>377</v>
      </c>
      <c r="E20" s="17">
        <f t="shared" si="3"/>
        <v>441.0769230769231</v>
      </c>
      <c r="F20" s="17">
        <f t="shared" si="3"/>
        <v>423.06666666666666</v>
      </c>
      <c r="G20" s="17">
        <f t="shared" si="3"/>
        <v>436.6666666666667</v>
      </c>
      <c r="H20" s="17">
        <f t="shared" si="3"/>
        <v>369</v>
      </c>
      <c r="I20" s="17">
        <f t="shared" si="3"/>
        <v>411</v>
      </c>
      <c r="J20" s="17">
        <f t="shared" si="3"/>
        <v>418.2142857142857</v>
      </c>
      <c r="K20" s="17">
        <f t="shared" si="3"/>
        <v>422.57142857142856</v>
      </c>
      <c r="L20" s="17"/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S20" s="105" t="s">
        <v>128</v>
      </c>
      <c r="T20" s="105" t="s">
        <v>247</v>
      </c>
    </row>
    <row r="21" spans="13:20" ht="15.75">
      <c r="M21" s="6">
        <f>SUM(M3:M17)</f>
        <v>38250</v>
      </c>
      <c r="N21" s="1">
        <f>SUM(N3:N17)</f>
        <v>56</v>
      </c>
      <c r="O21" s="1">
        <f>SUM(O3:O17)</f>
        <v>64</v>
      </c>
      <c r="P21" s="1">
        <f>SUM(P3:P17)</f>
        <v>-149</v>
      </c>
      <c r="Q21" s="1">
        <f>SUM(Q3:Q17)</f>
        <v>13</v>
      </c>
      <c r="S21" s="2">
        <f>N21-O21</f>
        <v>-8</v>
      </c>
      <c r="T21" s="2">
        <f>SUM(R18:T18)</f>
        <v>15</v>
      </c>
    </row>
    <row r="22" ht="15.75">
      <c r="I22" s="10"/>
    </row>
    <row r="23" spans="3:14" ht="15.75">
      <c r="C23" s="270" t="s">
        <v>40</v>
      </c>
      <c r="D23" s="270"/>
      <c r="M23" s="1" t="s">
        <v>130</v>
      </c>
      <c r="N23" s="19">
        <f>M21/T21</f>
        <v>2550</v>
      </c>
    </row>
    <row r="24" spans="3:14" ht="15.75">
      <c r="C24" s="268" t="s">
        <v>134</v>
      </c>
      <c r="D24" s="268"/>
      <c r="M24" s="1" t="s">
        <v>260</v>
      </c>
      <c r="N24" s="6">
        <f>M3+M5+M7+M8+M10+M12+M14+M16+M31+M33+M35+M38+M40+M42+M44</f>
        <v>37743</v>
      </c>
    </row>
    <row r="25" spans="3:14" ht="15.75">
      <c r="C25" s="269" t="s">
        <v>135</v>
      </c>
      <c r="D25" s="269"/>
      <c r="J25" s="265" t="s">
        <v>154</v>
      </c>
      <c r="K25" s="265"/>
      <c r="L25" s="3" t="s">
        <v>155</v>
      </c>
      <c r="M25" s="271" t="s">
        <v>128</v>
      </c>
      <c r="N25" s="271"/>
    </row>
    <row r="26" spans="10:14" ht="15.75">
      <c r="J26" s="1">
        <f>N21+N45</f>
        <v>108</v>
      </c>
      <c r="K26" s="1">
        <f>O21+O45</f>
        <v>132</v>
      </c>
      <c r="L26" s="1">
        <f>Q21+Q45</f>
        <v>23</v>
      </c>
      <c r="M26" s="267">
        <f>J26-K26</f>
        <v>-24</v>
      </c>
      <c r="N26" s="267"/>
    </row>
    <row r="27" spans="1:8" ht="15.75">
      <c r="A27" s="73" t="s">
        <v>144</v>
      </c>
      <c r="B27" s="74"/>
      <c r="C27" s="73" t="s">
        <v>149</v>
      </c>
      <c r="D27" s="76"/>
      <c r="E27" s="74" t="s">
        <v>148</v>
      </c>
      <c r="F27" s="266" t="s">
        <v>143</v>
      </c>
      <c r="G27" s="266"/>
      <c r="H27" s="74"/>
    </row>
    <row r="29" spans="2:20" ht="34.5" customHeight="1" thickBot="1">
      <c r="B29" s="3" t="s">
        <v>25</v>
      </c>
      <c r="C29" s="9" t="s">
        <v>77</v>
      </c>
      <c r="D29" s="9" t="s">
        <v>78</v>
      </c>
      <c r="E29" s="9" t="s">
        <v>79</v>
      </c>
      <c r="F29" s="9" t="s">
        <v>80</v>
      </c>
      <c r="G29" s="9" t="s">
        <v>81</v>
      </c>
      <c r="H29" s="9" t="s">
        <v>257</v>
      </c>
      <c r="I29" s="9" t="s">
        <v>126</v>
      </c>
      <c r="J29" s="9" t="s">
        <v>82</v>
      </c>
      <c r="K29" s="9" t="s">
        <v>101</v>
      </c>
      <c r="L29" s="9" t="s">
        <v>205</v>
      </c>
      <c r="M29" s="3" t="s">
        <v>30</v>
      </c>
      <c r="N29" s="90" t="s">
        <v>214</v>
      </c>
      <c r="O29" s="3" t="s">
        <v>29</v>
      </c>
      <c r="P29" s="3" t="s">
        <v>31</v>
      </c>
      <c r="Q29" s="11" t="s">
        <v>116</v>
      </c>
      <c r="R29" s="2" t="s">
        <v>191</v>
      </c>
      <c r="S29" s="2" t="s">
        <v>192</v>
      </c>
      <c r="T29" s="2" t="s">
        <v>193</v>
      </c>
    </row>
    <row r="30" spans="1:18" s="148" customFormat="1" ht="15.75">
      <c r="A30" s="144" t="s">
        <v>221</v>
      </c>
      <c r="B30" s="144" t="s">
        <v>22</v>
      </c>
      <c r="C30" s="182">
        <v>439</v>
      </c>
      <c r="D30" s="165">
        <v>379</v>
      </c>
      <c r="E30" s="165"/>
      <c r="F30" s="182">
        <v>428</v>
      </c>
      <c r="G30" s="182">
        <v>431</v>
      </c>
      <c r="H30" s="165"/>
      <c r="I30" s="165">
        <v>402</v>
      </c>
      <c r="J30" s="182">
        <v>424</v>
      </c>
      <c r="K30" s="145"/>
      <c r="L30" s="144"/>
      <c r="M30" s="146">
        <f>SUM(C30:L30)</f>
        <v>2503</v>
      </c>
      <c r="N30" s="144">
        <v>6</v>
      </c>
      <c r="O30" s="144">
        <v>2</v>
      </c>
      <c r="P30" s="144">
        <v>165</v>
      </c>
      <c r="Q30" s="144">
        <v>2</v>
      </c>
      <c r="R30" s="148">
        <v>1</v>
      </c>
    </row>
    <row r="31" spans="1:20" s="158" customFormat="1" ht="15.75">
      <c r="A31" s="154" t="s">
        <v>222</v>
      </c>
      <c r="B31" s="154" t="s">
        <v>15</v>
      </c>
      <c r="C31" s="187">
        <v>448</v>
      </c>
      <c r="D31" s="155">
        <v>381</v>
      </c>
      <c r="E31" s="155"/>
      <c r="F31" s="155">
        <v>392</v>
      </c>
      <c r="G31" s="187">
        <v>441</v>
      </c>
      <c r="H31" s="155"/>
      <c r="I31" s="155"/>
      <c r="J31" s="187">
        <v>443</v>
      </c>
      <c r="K31" s="155">
        <v>402</v>
      </c>
      <c r="L31" s="154"/>
      <c r="M31" s="156">
        <f>SUM(C31:L31)</f>
        <v>2507</v>
      </c>
      <c r="N31" s="154">
        <v>3</v>
      </c>
      <c r="O31" s="154">
        <v>5</v>
      </c>
      <c r="P31" s="154">
        <f>M31-2638</f>
        <v>-131</v>
      </c>
      <c r="Q31" s="154">
        <v>0</v>
      </c>
      <c r="T31" s="158">
        <v>1</v>
      </c>
    </row>
    <row r="32" spans="1:20" s="203" customFormat="1" ht="15.75">
      <c r="A32" s="203" t="s">
        <v>156</v>
      </c>
      <c r="B32" s="203" t="s">
        <v>17</v>
      </c>
      <c r="C32" s="92">
        <v>432</v>
      </c>
      <c r="D32" s="47">
        <v>363</v>
      </c>
      <c r="E32" s="47"/>
      <c r="F32" s="47">
        <v>422</v>
      </c>
      <c r="G32" s="92">
        <v>442</v>
      </c>
      <c r="H32" s="47"/>
      <c r="I32" s="47"/>
      <c r="J32" s="92">
        <v>430</v>
      </c>
      <c r="K32" s="47"/>
      <c r="L32" s="203">
        <v>329</v>
      </c>
      <c r="M32" s="204">
        <f>SUM(C32:L32)</f>
        <v>2418</v>
      </c>
      <c r="N32" s="203">
        <v>3</v>
      </c>
      <c r="O32" s="203">
        <v>5</v>
      </c>
      <c r="P32" s="203">
        <v>-189</v>
      </c>
      <c r="Q32" s="203">
        <v>0</v>
      </c>
      <c r="T32" s="203">
        <v>1</v>
      </c>
    </row>
    <row r="33" spans="1:18" s="158" customFormat="1" ht="15.75">
      <c r="A33" s="154" t="s">
        <v>157</v>
      </c>
      <c r="B33" s="154" t="s">
        <v>218</v>
      </c>
      <c r="C33" s="155">
        <v>336</v>
      </c>
      <c r="D33" s="155">
        <v>370</v>
      </c>
      <c r="E33" s="187">
        <v>393</v>
      </c>
      <c r="F33" s="187">
        <v>405</v>
      </c>
      <c r="G33" s="187">
        <v>400</v>
      </c>
      <c r="H33" s="155"/>
      <c r="I33" s="155"/>
      <c r="J33" s="155">
        <v>384</v>
      </c>
      <c r="K33" s="155"/>
      <c r="L33" s="154"/>
      <c r="M33" s="156">
        <f>SUM(C33:L33)</f>
        <v>2288</v>
      </c>
      <c r="N33" s="144">
        <v>5</v>
      </c>
      <c r="O33" s="144">
        <v>3</v>
      </c>
      <c r="P33" s="154">
        <v>21</v>
      </c>
      <c r="Q33" s="144">
        <v>2</v>
      </c>
      <c r="R33" s="148">
        <v>1</v>
      </c>
    </row>
    <row r="34" spans="1:20" s="148" customFormat="1" ht="15.75">
      <c r="A34" s="144" t="s">
        <v>158</v>
      </c>
      <c r="B34" s="144" t="s">
        <v>23</v>
      </c>
      <c r="C34" s="145"/>
      <c r="D34" s="145">
        <v>341</v>
      </c>
      <c r="E34" s="145"/>
      <c r="F34" s="145">
        <v>402</v>
      </c>
      <c r="G34" s="185">
        <v>438</v>
      </c>
      <c r="H34" s="145"/>
      <c r="I34" s="145">
        <v>362</v>
      </c>
      <c r="J34" s="145">
        <v>372</v>
      </c>
      <c r="K34" s="185">
        <v>467</v>
      </c>
      <c r="L34" s="144"/>
      <c r="M34" s="146">
        <f>SUM(C34:L34)</f>
        <v>2382</v>
      </c>
      <c r="N34" s="144">
        <v>2</v>
      </c>
      <c r="O34" s="144">
        <v>6</v>
      </c>
      <c r="P34" s="144">
        <v>-161</v>
      </c>
      <c r="Q34" s="144">
        <v>0</v>
      </c>
      <c r="T34" s="148">
        <v>1</v>
      </c>
    </row>
    <row r="35" spans="1:18" s="158" customFormat="1" ht="15.75">
      <c r="A35" s="154" t="s">
        <v>159</v>
      </c>
      <c r="B35" s="154" t="s">
        <v>217</v>
      </c>
      <c r="C35" s="187">
        <v>440</v>
      </c>
      <c r="D35" s="155"/>
      <c r="E35" s="187">
        <v>448</v>
      </c>
      <c r="F35" s="187">
        <v>428</v>
      </c>
      <c r="G35" s="155">
        <v>411</v>
      </c>
      <c r="H35" s="155"/>
      <c r="I35" s="155"/>
      <c r="J35" s="187">
        <v>479</v>
      </c>
      <c r="K35" s="187">
        <v>463</v>
      </c>
      <c r="L35" s="154"/>
      <c r="M35" s="156">
        <f aca="true" t="shared" si="4" ref="M35:M42">SUM(C35:L35)</f>
        <v>2669</v>
      </c>
      <c r="N35" s="154">
        <v>7</v>
      </c>
      <c r="O35" s="154">
        <v>1</v>
      </c>
      <c r="P35" s="154">
        <f>M35-2515</f>
        <v>154</v>
      </c>
      <c r="Q35" s="154">
        <v>2</v>
      </c>
      <c r="R35" s="158">
        <v>1</v>
      </c>
    </row>
    <row r="36" spans="1:18" s="148" customFormat="1" ht="15.75">
      <c r="A36" s="144" t="s">
        <v>160</v>
      </c>
      <c r="B36" s="144" t="s">
        <v>204</v>
      </c>
      <c r="C36" s="185">
        <v>420</v>
      </c>
      <c r="D36" s="145"/>
      <c r="E36" s="185">
        <v>463</v>
      </c>
      <c r="F36" s="145"/>
      <c r="G36" s="185">
        <v>460</v>
      </c>
      <c r="H36" s="145"/>
      <c r="I36" s="145">
        <v>378</v>
      </c>
      <c r="J36" s="145">
        <v>415</v>
      </c>
      <c r="K36" s="145">
        <v>399</v>
      </c>
      <c r="L36" s="144"/>
      <c r="M36" s="146">
        <f t="shared" si="4"/>
        <v>2535</v>
      </c>
      <c r="N36" s="144">
        <v>5</v>
      </c>
      <c r="O36" s="144">
        <v>3</v>
      </c>
      <c r="P36" s="144">
        <v>6</v>
      </c>
      <c r="Q36" s="144">
        <v>2</v>
      </c>
      <c r="R36" s="148">
        <v>1</v>
      </c>
    </row>
    <row r="37" spans="1:20" s="148" customFormat="1" ht="15.75">
      <c r="A37" s="144" t="s">
        <v>161</v>
      </c>
      <c r="B37" s="144" t="s">
        <v>26</v>
      </c>
      <c r="C37" s="145"/>
      <c r="D37" s="145"/>
      <c r="E37" s="145">
        <v>371</v>
      </c>
      <c r="F37" s="185">
        <v>429</v>
      </c>
      <c r="G37" s="145">
        <v>420</v>
      </c>
      <c r="H37" s="145"/>
      <c r="I37" s="145">
        <v>386</v>
      </c>
      <c r="J37" s="185">
        <v>435</v>
      </c>
      <c r="K37" s="185">
        <v>422</v>
      </c>
      <c r="L37" s="144"/>
      <c r="M37" s="146">
        <f t="shared" si="4"/>
        <v>2463</v>
      </c>
      <c r="N37" s="144">
        <v>3</v>
      </c>
      <c r="O37" s="144">
        <v>5</v>
      </c>
      <c r="P37" s="144">
        <v>-109</v>
      </c>
      <c r="Q37" s="144">
        <v>0</v>
      </c>
      <c r="T37" s="148">
        <v>1</v>
      </c>
    </row>
    <row r="38" spans="1:20" s="158" customFormat="1" ht="15.75">
      <c r="A38" s="154" t="s">
        <v>162</v>
      </c>
      <c r="B38" s="169" t="s">
        <v>19</v>
      </c>
      <c r="C38" s="155">
        <v>377</v>
      </c>
      <c r="D38" s="155">
        <v>372</v>
      </c>
      <c r="E38" s="155"/>
      <c r="F38" s="155">
        <v>402</v>
      </c>
      <c r="G38" s="187">
        <v>429</v>
      </c>
      <c r="H38" s="155"/>
      <c r="I38" s="155"/>
      <c r="J38" s="187">
        <v>452</v>
      </c>
      <c r="K38" s="155">
        <v>371</v>
      </c>
      <c r="L38" s="154"/>
      <c r="M38" s="156">
        <f t="shared" si="4"/>
        <v>2403</v>
      </c>
      <c r="N38" s="154">
        <v>2</v>
      </c>
      <c r="O38" s="154">
        <v>6</v>
      </c>
      <c r="P38" s="154">
        <v>-62</v>
      </c>
      <c r="Q38" s="154">
        <v>0</v>
      </c>
      <c r="T38" s="158">
        <v>1</v>
      </c>
    </row>
    <row r="39" spans="1:20" s="148" customFormat="1" ht="15.75">
      <c r="A39" s="144" t="s">
        <v>163</v>
      </c>
      <c r="B39" s="166" t="s">
        <v>21</v>
      </c>
      <c r="C39" s="145">
        <v>415</v>
      </c>
      <c r="D39" s="145"/>
      <c r="E39" s="145"/>
      <c r="F39" s="145">
        <v>404</v>
      </c>
      <c r="G39" s="185">
        <v>452</v>
      </c>
      <c r="H39" s="145"/>
      <c r="I39" s="145">
        <v>400</v>
      </c>
      <c r="J39" s="145">
        <v>390</v>
      </c>
      <c r="K39" s="145">
        <v>388</v>
      </c>
      <c r="L39" s="144"/>
      <c r="M39" s="146">
        <f t="shared" si="4"/>
        <v>2449</v>
      </c>
      <c r="N39" s="144">
        <v>1</v>
      </c>
      <c r="O39" s="144">
        <v>7</v>
      </c>
      <c r="P39" s="144">
        <v>-138</v>
      </c>
      <c r="Q39" s="144">
        <v>0</v>
      </c>
      <c r="T39" s="148">
        <v>1</v>
      </c>
    </row>
    <row r="40" spans="1:18" s="158" customFormat="1" ht="15.75">
      <c r="A40" s="154" t="s">
        <v>164</v>
      </c>
      <c r="B40" s="197" t="s">
        <v>24</v>
      </c>
      <c r="C40" s="155">
        <v>432</v>
      </c>
      <c r="D40" s="155">
        <v>402</v>
      </c>
      <c r="E40" s="155"/>
      <c r="F40" s="155">
        <v>403</v>
      </c>
      <c r="G40" s="155">
        <v>416</v>
      </c>
      <c r="H40" s="155"/>
      <c r="I40" s="155"/>
      <c r="J40" s="155">
        <v>443</v>
      </c>
      <c r="K40" s="155">
        <v>395</v>
      </c>
      <c r="L40" s="154"/>
      <c r="M40" s="156">
        <f t="shared" si="4"/>
        <v>2491</v>
      </c>
      <c r="N40" s="154">
        <v>5</v>
      </c>
      <c r="O40" s="154">
        <v>3</v>
      </c>
      <c r="P40" s="154">
        <v>13</v>
      </c>
      <c r="Q40" s="154">
        <v>2</v>
      </c>
      <c r="R40" s="158">
        <v>1</v>
      </c>
    </row>
    <row r="41" spans="1:20" s="148" customFormat="1" ht="15.75">
      <c r="A41" s="144" t="s">
        <v>165</v>
      </c>
      <c r="B41" s="144" t="s">
        <v>20</v>
      </c>
      <c r="C41" s="145"/>
      <c r="D41" s="145"/>
      <c r="E41" s="145"/>
      <c r="F41" s="223">
        <v>425</v>
      </c>
      <c r="G41" s="223">
        <v>423</v>
      </c>
      <c r="H41" s="145"/>
      <c r="I41" s="145">
        <v>391</v>
      </c>
      <c r="J41" s="223">
        <v>431</v>
      </c>
      <c r="K41" s="145">
        <v>403</v>
      </c>
      <c r="L41" s="144">
        <v>319</v>
      </c>
      <c r="M41" s="146">
        <f t="shared" si="4"/>
        <v>2392</v>
      </c>
      <c r="N41" s="144">
        <v>3</v>
      </c>
      <c r="O41" s="144">
        <v>5</v>
      </c>
      <c r="P41" s="144">
        <v>-202</v>
      </c>
      <c r="Q41" s="144">
        <v>0</v>
      </c>
      <c r="T41" s="148">
        <v>1</v>
      </c>
    </row>
    <row r="42" spans="1:20" s="158" customFormat="1" ht="15.75">
      <c r="A42" s="154" t="s">
        <v>166</v>
      </c>
      <c r="B42" s="154" t="s">
        <v>18</v>
      </c>
      <c r="C42" s="155">
        <v>418</v>
      </c>
      <c r="D42" s="155"/>
      <c r="E42" s="155"/>
      <c r="F42" s="222">
        <v>458</v>
      </c>
      <c r="G42" s="155">
        <v>417</v>
      </c>
      <c r="H42" s="155"/>
      <c r="I42" s="222">
        <v>434</v>
      </c>
      <c r="J42" s="155">
        <v>412</v>
      </c>
      <c r="K42" s="155"/>
      <c r="L42" s="154">
        <v>366</v>
      </c>
      <c r="M42" s="156">
        <f t="shared" si="4"/>
        <v>2505</v>
      </c>
      <c r="N42" s="154">
        <v>2</v>
      </c>
      <c r="O42" s="154">
        <v>6</v>
      </c>
      <c r="P42" s="154">
        <v>-32</v>
      </c>
      <c r="Q42" s="154">
        <v>0</v>
      </c>
      <c r="T42" s="158">
        <v>1</v>
      </c>
    </row>
    <row r="43" spans="1:20" s="148" customFormat="1" ht="15.75">
      <c r="A43" s="144" t="s">
        <v>167</v>
      </c>
      <c r="B43" s="144" t="s">
        <v>216</v>
      </c>
      <c r="C43" s="145">
        <v>415</v>
      </c>
      <c r="D43" s="145"/>
      <c r="E43" s="145"/>
      <c r="F43" s="223">
        <v>429</v>
      </c>
      <c r="G43" s="223">
        <v>420</v>
      </c>
      <c r="H43" s="145"/>
      <c r="I43" s="145">
        <v>392</v>
      </c>
      <c r="J43" s="223">
        <v>449</v>
      </c>
      <c r="K43" s="145"/>
      <c r="L43" s="144">
        <v>392</v>
      </c>
      <c r="M43" s="146">
        <f>SUM(C43:L43)</f>
        <v>2497</v>
      </c>
      <c r="N43" s="144">
        <v>3</v>
      </c>
      <c r="O43" s="144">
        <v>5</v>
      </c>
      <c r="P43" s="144">
        <f>M43-2512</f>
        <v>-15</v>
      </c>
      <c r="Q43" s="144">
        <v>0</v>
      </c>
      <c r="T43" s="148">
        <v>1</v>
      </c>
    </row>
    <row r="44" spans="1:20" s="158" customFormat="1" ht="16.5" thickBot="1">
      <c r="A44" s="154" t="s">
        <v>168</v>
      </c>
      <c r="B44" s="154" t="s">
        <v>223</v>
      </c>
      <c r="C44" s="159">
        <v>421</v>
      </c>
      <c r="D44" s="159"/>
      <c r="E44" s="234">
        <v>429</v>
      </c>
      <c r="F44" s="159">
        <v>412</v>
      </c>
      <c r="G44" s="159">
        <v>396</v>
      </c>
      <c r="H44" s="159"/>
      <c r="I44" s="159">
        <v>366</v>
      </c>
      <c r="J44" s="234">
        <v>428</v>
      </c>
      <c r="K44" s="159"/>
      <c r="L44" s="160"/>
      <c r="M44" s="161">
        <f>SUM(C44:L44)</f>
        <v>2452</v>
      </c>
      <c r="N44" s="160">
        <v>2</v>
      </c>
      <c r="O44" s="160">
        <v>6</v>
      </c>
      <c r="P44" s="160">
        <f>M44-2569</f>
        <v>-117</v>
      </c>
      <c r="Q44" s="160">
        <v>0</v>
      </c>
      <c r="R44" s="179"/>
      <c r="S44" s="179"/>
      <c r="T44" s="179">
        <v>1</v>
      </c>
    </row>
    <row r="45" spans="3:20" ht="16.5" thickTop="1">
      <c r="C45" s="7">
        <f aca="true" t="shared" si="5" ref="C45:L45">SUM(C30:C44)</f>
        <v>4993</v>
      </c>
      <c r="D45" s="7">
        <f t="shared" si="5"/>
        <v>2608</v>
      </c>
      <c r="E45" s="7">
        <f t="shared" si="5"/>
        <v>2104</v>
      </c>
      <c r="F45" s="7">
        <f t="shared" si="5"/>
        <v>5839</v>
      </c>
      <c r="G45" s="7">
        <f t="shared" si="5"/>
        <v>6396</v>
      </c>
      <c r="H45" s="7">
        <f t="shared" si="5"/>
        <v>0</v>
      </c>
      <c r="I45" s="7">
        <f t="shared" si="5"/>
        <v>3511</v>
      </c>
      <c r="J45" s="7">
        <f t="shared" si="5"/>
        <v>6387</v>
      </c>
      <c r="K45" s="7">
        <f t="shared" si="5"/>
        <v>3710</v>
      </c>
      <c r="L45" s="7">
        <f t="shared" si="5"/>
        <v>1406</v>
      </c>
      <c r="N45" s="1">
        <f>SUM(N30:N44)</f>
        <v>52</v>
      </c>
      <c r="O45" s="1">
        <f>SUM(O30:O44)</f>
        <v>68</v>
      </c>
      <c r="P45" s="1">
        <f>SUM(P30:P44)</f>
        <v>-797</v>
      </c>
      <c r="Q45" s="1">
        <f>SUM(Q30:Q44)</f>
        <v>10</v>
      </c>
      <c r="R45" s="1">
        <f>SUM(R30:R44)+R18</f>
        <v>11</v>
      </c>
      <c r="S45" s="1">
        <f>SUM(S30:S44)+S18</f>
        <v>1</v>
      </c>
      <c r="T45" s="1">
        <f>SUM(T30:T44)+T18</f>
        <v>18</v>
      </c>
    </row>
    <row r="46" spans="2:12" ht="31.5">
      <c r="B46" s="83" t="s">
        <v>280</v>
      </c>
      <c r="C46" s="1">
        <f>COUNT(C30:C44)</f>
        <v>12</v>
      </c>
      <c r="D46" s="1">
        <f aca="true" t="shared" si="6" ref="D46:L46">COUNT(D30:D44)</f>
        <v>7</v>
      </c>
      <c r="E46" s="1">
        <f t="shared" si="6"/>
        <v>5</v>
      </c>
      <c r="F46" s="1">
        <f t="shared" si="6"/>
        <v>14</v>
      </c>
      <c r="G46" s="1">
        <f t="shared" si="6"/>
        <v>15</v>
      </c>
      <c r="H46" s="1">
        <f t="shared" si="6"/>
        <v>0</v>
      </c>
      <c r="I46" s="1">
        <f t="shared" si="6"/>
        <v>9</v>
      </c>
      <c r="J46" s="1">
        <f t="shared" si="6"/>
        <v>15</v>
      </c>
      <c r="K46" s="1">
        <f t="shared" si="6"/>
        <v>9</v>
      </c>
      <c r="L46" s="1">
        <f t="shared" si="6"/>
        <v>4</v>
      </c>
    </row>
    <row r="47" spans="2:20" ht="31.5">
      <c r="B47" s="12" t="s">
        <v>275</v>
      </c>
      <c r="C47" s="17">
        <f>C45/C46</f>
        <v>416.0833333333333</v>
      </c>
      <c r="D47" s="17">
        <f aca="true" t="shared" si="7" ref="D47:J47">D45/D46</f>
        <v>372.57142857142856</v>
      </c>
      <c r="E47" s="17">
        <f t="shared" si="7"/>
        <v>420.8</v>
      </c>
      <c r="F47" s="17">
        <f t="shared" si="7"/>
        <v>417.07142857142856</v>
      </c>
      <c r="G47" s="17">
        <f t="shared" si="7"/>
        <v>426.4</v>
      </c>
      <c r="H47" s="17"/>
      <c r="I47" s="17">
        <f t="shared" si="7"/>
        <v>390.1111111111111</v>
      </c>
      <c r="J47" s="17">
        <f t="shared" si="7"/>
        <v>425.8</v>
      </c>
      <c r="K47" s="17">
        <f>K45/K46</f>
        <v>412.22222222222223</v>
      </c>
      <c r="L47" s="17">
        <f>L45/L46</f>
        <v>351.5</v>
      </c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3:20" ht="15.75">
      <c r="M48" s="6">
        <f>SUM(M30:M44)+M21</f>
        <v>75204</v>
      </c>
      <c r="N48" s="6">
        <f>SUM(N30:N44)+N21</f>
        <v>108</v>
      </c>
      <c r="O48" s="6">
        <f>SUM(O30:O44)+O21</f>
        <v>132</v>
      </c>
      <c r="P48" s="6">
        <f>SUM(P30:P44)+P21</f>
        <v>-946</v>
      </c>
      <c r="Q48" s="6">
        <f>SUM(Q30:Q44)+Q21</f>
        <v>23</v>
      </c>
      <c r="S48" s="2">
        <f>N48-O48</f>
        <v>-24</v>
      </c>
      <c r="T48" s="2">
        <f>SUM(R45:T45)</f>
        <v>30</v>
      </c>
    </row>
    <row r="50" spans="13:14" ht="15.75">
      <c r="M50" s="1" t="s">
        <v>130</v>
      </c>
      <c r="N50" s="19">
        <f>M48/T48</f>
        <v>2506.8</v>
      </c>
    </row>
  </sheetData>
  <sheetProtection/>
  <mergeCells count="11">
    <mergeCell ref="N47:O47"/>
    <mergeCell ref="F27:G27"/>
    <mergeCell ref="M26:N26"/>
    <mergeCell ref="J25:K25"/>
    <mergeCell ref="M25:N25"/>
    <mergeCell ref="C25:D25"/>
    <mergeCell ref="C24:D24"/>
    <mergeCell ref="C1:L1"/>
    <mergeCell ref="N1:O1"/>
    <mergeCell ref="C23:D23"/>
    <mergeCell ref="N20:O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S50"/>
  <sheetViews>
    <sheetView zoomScale="90" zoomScaleNormal="90" zoomScalePageLayoutView="0" workbookViewId="0" topLeftCell="A19">
      <selection activeCell="M25" sqref="M25:N25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4" width="9.125" style="1" customWidth="1"/>
    <col min="5" max="5" width="10.75390625" style="1" customWidth="1"/>
    <col min="6" max="6" width="9.125" style="1" customWidth="1"/>
    <col min="7" max="7" width="11.375" style="1" customWidth="1"/>
    <col min="8" max="8" width="9.125" style="1" customWidth="1"/>
    <col min="9" max="10" width="10.875" style="1" customWidth="1"/>
    <col min="11" max="11" width="9.125" style="1" customWidth="1"/>
    <col min="12" max="12" width="16.875" style="1" customWidth="1"/>
    <col min="13" max="13" width="11.25390625" style="1" customWidth="1"/>
    <col min="14" max="14" width="10.375" style="1" customWidth="1"/>
    <col min="15" max="15" width="13.375" style="1" customWidth="1"/>
    <col min="16" max="16" width="10.875" style="1" customWidth="1"/>
    <col min="18" max="18" width="11.75390625" style="0" customWidth="1"/>
    <col min="19" max="19" width="12.25390625" style="0" customWidth="1"/>
  </cols>
  <sheetData>
    <row r="1" spans="3:19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M1" s="265" t="s">
        <v>28</v>
      </c>
      <c r="N1" s="265"/>
      <c r="Q1" s="2"/>
      <c r="R1" s="2"/>
      <c r="S1" s="2"/>
    </row>
    <row r="2" spans="2:19" ht="48" thickBot="1">
      <c r="B2" s="3" t="s">
        <v>25</v>
      </c>
      <c r="C2" s="9" t="s">
        <v>115</v>
      </c>
      <c r="D2" s="9" t="s">
        <v>69</v>
      </c>
      <c r="E2" s="9" t="s">
        <v>34</v>
      </c>
      <c r="F2" s="9" t="s">
        <v>174</v>
      </c>
      <c r="G2" s="9" t="s">
        <v>91</v>
      </c>
      <c r="H2" s="9" t="s">
        <v>71</v>
      </c>
      <c r="I2" s="9" t="s">
        <v>124</v>
      </c>
      <c r="J2" s="9" t="s">
        <v>178</v>
      </c>
      <c r="L2" s="12" t="s">
        <v>30</v>
      </c>
      <c r="M2" s="12" t="s">
        <v>217</v>
      </c>
      <c r="N2" s="12" t="s">
        <v>29</v>
      </c>
      <c r="O2" s="12" t="s">
        <v>31</v>
      </c>
      <c r="P2" s="11" t="s">
        <v>116</v>
      </c>
      <c r="Q2" s="2" t="s">
        <v>191</v>
      </c>
      <c r="R2" s="2" t="s">
        <v>192</v>
      </c>
      <c r="S2" s="2" t="s">
        <v>193</v>
      </c>
    </row>
    <row r="3" spans="1:19" s="34" customFormat="1" ht="15.75">
      <c r="A3" s="29" t="s">
        <v>0</v>
      </c>
      <c r="B3" s="29" t="s">
        <v>16</v>
      </c>
      <c r="C3" s="48">
        <v>390</v>
      </c>
      <c r="D3" s="48"/>
      <c r="E3" s="48">
        <v>394</v>
      </c>
      <c r="F3" s="48">
        <v>406</v>
      </c>
      <c r="G3" s="48"/>
      <c r="H3" s="93">
        <v>411</v>
      </c>
      <c r="I3" s="93">
        <v>411</v>
      </c>
      <c r="J3" s="207">
        <v>405</v>
      </c>
      <c r="K3" s="68"/>
      <c r="L3" s="32">
        <f aca="true" t="shared" si="0" ref="L3:L17">SUM(C3:J3)</f>
        <v>2417</v>
      </c>
      <c r="M3" s="29">
        <v>2</v>
      </c>
      <c r="N3" s="29">
        <v>6</v>
      </c>
      <c r="O3" s="29">
        <v>-82</v>
      </c>
      <c r="P3" s="29">
        <v>0</v>
      </c>
      <c r="Q3" s="33"/>
      <c r="R3" s="33"/>
      <c r="S3" s="33">
        <v>1</v>
      </c>
    </row>
    <row r="4" spans="1:19" s="25" customFormat="1" ht="15.75">
      <c r="A4" s="20" t="s">
        <v>1</v>
      </c>
      <c r="B4" s="20" t="s">
        <v>18</v>
      </c>
      <c r="C4" s="47">
        <v>423</v>
      </c>
      <c r="D4" s="92">
        <v>434</v>
      </c>
      <c r="E4" s="92">
        <v>465</v>
      </c>
      <c r="F4" s="47">
        <v>425</v>
      </c>
      <c r="G4" s="92">
        <v>427</v>
      </c>
      <c r="H4" s="47"/>
      <c r="I4" s="47"/>
      <c r="J4" s="49">
        <v>397</v>
      </c>
      <c r="K4" s="62"/>
      <c r="L4" s="23">
        <f t="shared" si="0"/>
        <v>2571</v>
      </c>
      <c r="M4" s="20">
        <v>5</v>
      </c>
      <c r="N4" s="20">
        <v>3</v>
      </c>
      <c r="O4" s="20">
        <v>15</v>
      </c>
      <c r="P4" s="20">
        <v>2</v>
      </c>
      <c r="Q4" s="24">
        <v>1</v>
      </c>
      <c r="R4" s="24"/>
      <c r="S4" s="24"/>
    </row>
    <row r="5" spans="1:19" s="34" customFormat="1" ht="15.75">
      <c r="A5" s="29" t="s">
        <v>2</v>
      </c>
      <c r="B5" s="29" t="s">
        <v>20</v>
      </c>
      <c r="C5" s="48">
        <v>427</v>
      </c>
      <c r="D5" s="48">
        <v>406</v>
      </c>
      <c r="E5" s="93">
        <v>444</v>
      </c>
      <c r="F5" s="93">
        <v>474</v>
      </c>
      <c r="G5" s="48">
        <v>420</v>
      </c>
      <c r="H5" s="48"/>
      <c r="I5" s="48"/>
      <c r="J5" s="97">
        <v>429</v>
      </c>
      <c r="K5" s="68"/>
      <c r="L5" s="32">
        <f t="shared" si="0"/>
        <v>2600</v>
      </c>
      <c r="M5" s="29">
        <v>5</v>
      </c>
      <c r="N5" s="29">
        <v>3</v>
      </c>
      <c r="O5" s="29">
        <v>80</v>
      </c>
      <c r="P5" s="29">
        <v>2</v>
      </c>
      <c r="Q5" s="33">
        <v>1</v>
      </c>
      <c r="R5" s="33"/>
      <c r="S5" s="33"/>
    </row>
    <row r="6" spans="1:19" s="25" customFormat="1" ht="15.75">
      <c r="A6" s="20" t="s">
        <v>3</v>
      </c>
      <c r="B6" s="20" t="s">
        <v>24</v>
      </c>
      <c r="C6" s="47"/>
      <c r="D6" s="47">
        <v>427</v>
      </c>
      <c r="E6" s="92">
        <v>437</v>
      </c>
      <c r="F6" s="92">
        <v>436</v>
      </c>
      <c r="G6" s="47">
        <v>425</v>
      </c>
      <c r="H6" s="47">
        <v>417</v>
      </c>
      <c r="I6" s="92">
        <v>450</v>
      </c>
      <c r="J6" s="49"/>
      <c r="K6" s="62"/>
      <c r="L6" s="23">
        <f t="shared" si="0"/>
        <v>2592</v>
      </c>
      <c r="M6" s="20">
        <v>3</v>
      </c>
      <c r="N6" s="20">
        <v>5</v>
      </c>
      <c r="O6" s="23">
        <f>L6-2657</f>
        <v>-65</v>
      </c>
      <c r="P6" s="20">
        <v>0</v>
      </c>
      <c r="Q6" s="24"/>
      <c r="R6" s="24"/>
      <c r="S6" s="24">
        <v>1</v>
      </c>
    </row>
    <row r="7" spans="1:19" s="34" customFormat="1" ht="15.75">
      <c r="A7" s="29" t="s">
        <v>4</v>
      </c>
      <c r="B7" s="35" t="s">
        <v>21</v>
      </c>
      <c r="C7" s="48"/>
      <c r="D7" s="48">
        <v>431</v>
      </c>
      <c r="E7" s="48"/>
      <c r="F7" s="48">
        <v>418</v>
      </c>
      <c r="G7" s="48">
        <v>413</v>
      </c>
      <c r="H7" s="48">
        <v>403</v>
      </c>
      <c r="I7" s="93">
        <v>455</v>
      </c>
      <c r="J7" s="97">
        <v>456</v>
      </c>
      <c r="K7" s="68"/>
      <c r="L7" s="32">
        <f t="shared" si="0"/>
        <v>2576</v>
      </c>
      <c r="M7" s="29">
        <v>2</v>
      </c>
      <c r="N7" s="29">
        <v>6</v>
      </c>
      <c r="O7" s="29">
        <v>-78</v>
      </c>
      <c r="P7" s="29">
        <v>0</v>
      </c>
      <c r="Q7" s="33"/>
      <c r="R7" s="33"/>
      <c r="S7" s="33">
        <v>1</v>
      </c>
    </row>
    <row r="8" spans="1:19" s="25" customFormat="1" ht="15.75">
      <c r="A8" s="20" t="s">
        <v>5</v>
      </c>
      <c r="B8" s="20" t="s">
        <v>19</v>
      </c>
      <c r="C8" s="92">
        <v>448</v>
      </c>
      <c r="D8" s="92">
        <v>413</v>
      </c>
      <c r="E8" s="92">
        <v>427</v>
      </c>
      <c r="F8" s="92">
        <v>465</v>
      </c>
      <c r="G8" s="47"/>
      <c r="H8" s="47"/>
      <c r="I8" s="47">
        <v>397</v>
      </c>
      <c r="J8" s="49">
        <v>382</v>
      </c>
      <c r="K8" s="62"/>
      <c r="L8" s="23">
        <f t="shared" si="0"/>
        <v>2532</v>
      </c>
      <c r="M8" s="20">
        <v>6</v>
      </c>
      <c r="N8" s="20">
        <v>2</v>
      </c>
      <c r="O8" s="23">
        <v>64</v>
      </c>
      <c r="P8" s="20">
        <v>2</v>
      </c>
      <c r="Q8" s="24">
        <v>1</v>
      </c>
      <c r="R8" s="24"/>
      <c r="S8" s="24"/>
    </row>
    <row r="9" spans="1:19" s="34" customFormat="1" ht="15.75">
      <c r="A9" s="29" t="s">
        <v>6</v>
      </c>
      <c r="B9" s="29" t="s">
        <v>214</v>
      </c>
      <c r="C9" s="48">
        <v>412</v>
      </c>
      <c r="D9" s="48"/>
      <c r="E9" s="93">
        <v>449</v>
      </c>
      <c r="F9" s="93">
        <v>432</v>
      </c>
      <c r="G9" s="48">
        <v>402</v>
      </c>
      <c r="H9" s="93">
        <v>430</v>
      </c>
      <c r="I9" s="93">
        <v>452</v>
      </c>
      <c r="J9" s="52"/>
      <c r="K9" s="68"/>
      <c r="L9" s="32">
        <f t="shared" si="0"/>
        <v>2577</v>
      </c>
      <c r="M9" s="29">
        <v>6</v>
      </c>
      <c r="N9" s="29">
        <v>2</v>
      </c>
      <c r="O9" s="32">
        <f>L9-2546</f>
        <v>31</v>
      </c>
      <c r="P9" s="29">
        <v>2</v>
      </c>
      <c r="Q9" s="33">
        <v>1</v>
      </c>
      <c r="R9" s="33"/>
      <c r="S9" s="33"/>
    </row>
    <row r="10" spans="1:19" s="25" customFormat="1" ht="15.75">
      <c r="A10" s="20" t="s">
        <v>7</v>
      </c>
      <c r="B10" s="20" t="s">
        <v>204</v>
      </c>
      <c r="C10" s="47"/>
      <c r="D10" s="47">
        <v>413</v>
      </c>
      <c r="E10" s="47">
        <v>398</v>
      </c>
      <c r="F10" s="92">
        <v>438</v>
      </c>
      <c r="G10" s="47"/>
      <c r="H10" s="92">
        <v>468</v>
      </c>
      <c r="I10" s="92">
        <v>457</v>
      </c>
      <c r="J10" s="49">
        <v>385</v>
      </c>
      <c r="K10" s="62"/>
      <c r="L10" s="23">
        <f t="shared" si="0"/>
        <v>2559</v>
      </c>
      <c r="M10" s="20">
        <v>5</v>
      </c>
      <c r="N10" s="20">
        <v>3</v>
      </c>
      <c r="O10" s="20">
        <v>30</v>
      </c>
      <c r="P10" s="20">
        <v>2</v>
      </c>
      <c r="Q10" s="24">
        <v>1</v>
      </c>
      <c r="R10" s="24"/>
      <c r="S10" s="24"/>
    </row>
    <row r="11" spans="1:19" s="34" customFormat="1" ht="15.75">
      <c r="A11" s="29" t="s">
        <v>8</v>
      </c>
      <c r="B11" s="29" t="s">
        <v>26</v>
      </c>
      <c r="C11" s="93">
        <v>451</v>
      </c>
      <c r="D11" s="48"/>
      <c r="E11" s="93">
        <v>458</v>
      </c>
      <c r="F11" s="48">
        <v>430</v>
      </c>
      <c r="G11" s="48">
        <v>402</v>
      </c>
      <c r="H11" s="93">
        <v>438</v>
      </c>
      <c r="I11" s="48">
        <v>382</v>
      </c>
      <c r="J11" s="52"/>
      <c r="K11" s="68"/>
      <c r="L11" s="32">
        <f t="shared" si="0"/>
        <v>2561</v>
      </c>
      <c r="M11" s="29">
        <v>3</v>
      </c>
      <c r="N11" s="29">
        <v>5</v>
      </c>
      <c r="O11" s="32">
        <f>L11-2655</f>
        <v>-94</v>
      </c>
      <c r="P11" s="29">
        <v>0</v>
      </c>
      <c r="Q11" s="33"/>
      <c r="R11" s="33"/>
      <c r="S11" s="33">
        <v>1</v>
      </c>
    </row>
    <row r="12" spans="1:19" s="34" customFormat="1" ht="15.75">
      <c r="A12" s="29" t="s">
        <v>9</v>
      </c>
      <c r="B12" s="29" t="s">
        <v>23</v>
      </c>
      <c r="C12" s="93">
        <v>440</v>
      </c>
      <c r="D12" s="48"/>
      <c r="E12" s="93">
        <v>432</v>
      </c>
      <c r="F12" s="48">
        <v>431</v>
      </c>
      <c r="G12" s="48">
        <v>427</v>
      </c>
      <c r="H12" s="93">
        <v>444</v>
      </c>
      <c r="I12" s="48">
        <v>415</v>
      </c>
      <c r="J12" s="52"/>
      <c r="K12" s="68"/>
      <c r="L12" s="32">
        <f t="shared" si="0"/>
        <v>2589</v>
      </c>
      <c r="M12" s="29">
        <v>5</v>
      </c>
      <c r="N12" s="29">
        <v>3</v>
      </c>
      <c r="O12" s="29">
        <v>449</v>
      </c>
      <c r="P12" s="29">
        <v>2</v>
      </c>
      <c r="Q12" s="33">
        <v>1</v>
      </c>
      <c r="R12" s="33"/>
      <c r="S12" s="33"/>
    </row>
    <row r="13" spans="1:19" s="25" customFormat="1" ht="15.75">
      <c r="A13" s="20" t="s">
        <v>10</v>
      </c>
      <c r="B13" s="20" t="s">
        <v>218</v>
      </c>
      <c r="C13" s="92">
        <v>458</v>
      </c>
      <c r="D13" s="92">
        <v>437</v>
      </c>
      <c r="E13" s="92">
        <v>444</v>
      </c>
      <c r="F13" s="47"/>
      <c r="G13" s="92">
        <v>444</v>
      </c>
      <c r="H13" s="92">
        <v>426</v>
      </c>
      <c r="I13" s="47"/>
      <c r="J13" s="49">
        <v>391</v>
      </c>
      <c r="K13" s="62"/>
      <c r="L13" s="23">
        <f t="shared" si="0"/>
        <v>2600</v>
      </c>
      <c r="M13" s="20">
        <v>7</v>
      </c>
      <c r="N13" s="20">
        <v>1</v>
      </c>
      <c r="O13" s="23">
        <f>L13-2434</f>
        <v>166</v>
      </c>
      <c r="P13" s="20">
        <v>2</v>
      </c>
      <c r="Q13" s="24">
        <v>1</v>
      </c>
      <c r="R13" s="24"/>
      <c r="S13" s="24"/>
    </row>
    <row r="14" spans="1:19" s="34" customFormat="1" ht="15.75">
      <c r="A14" s="29" t="s">
        <v>11</v>
      </c>
      <c r="B14" s="29" t="s">
        <v>17</v>
      </c>
      <c r="C14" s="52">
        <v>434</v>
      </c>
      <c r="D14" s="52">
        <v>432</v>
      </c>
      <c r="E14" s="93">
        <v>450</v>
      </c>
      <c r="F14" s="48">
        <v>419</v>
      </c>
      <c r="G14" s="52">
        <v>375</v>
      </c>
      <c r="I14" s="52">
        <v>437</v>
      </c>
      <c r="J14" s="52"/>
      <c r="K14" s="68"/>
      <c r="L14" s="32">
        <f t="shared" si="0"/>
        <v>2547</v>
      </c>
      <c r="M14" s="29">
        <v>1</v>
      </c>
      <c r="N14" s="29">
        <v>7</v>
      </c>
      <c r="O14" s="32">
        <f>L14-2674</f>
        <v>-127</v>
      </c>
      <c r="P14" s="29">
        <v>0</v>
      </c>
      <c r="Q14" s="33"/>
      <c r="R14" s="33"/>
      <c r="S14" s="33">
        <v>1</v>
      </c>
    </row>
    <row r="15" spans="1:19" s="25" customFormat="1" ht="15.75">
      <c r="A15" s="20" t="s">
        <v>12</v>
      </c>
      <c r="B15" s="20" t="s">
        <v>15</v>
      </c>
      <c r="C15" s="92">
        <v>446</v>
      </c>
      <c r="D15" s="47">
        <v>422</v>
      </c>
      <c r="E15" s="92">
        <v>468</v>
      </c>
      <c r="F15" s="47"/>
      <c r="G15" s="47"/>
      <c r="H15" s="92">
        <v>450</v>
      </c>
      <c r="I15" s="47">
        <v>432</v>
      </c>
      <c r="J15" s="49">
        <v>421</v>
      </c>
      <c r="K15" s="62"/>
      <c r="L15" s="23">
        <f t="shared" si="0"/>
        <v>2639</v>
      </c>
      <c r="M15" s="20">
        <v>5</v>
      </c>
      <c r="N15" s="20">
        <v>3</v>
      </c>
      <c r="O15" s="23">
        <f>L15-2611</f>
        <v>28</v>
      </c>
      <c r="P15" s="20">
        <v>2</v>
      </c>
      <c r="Q15" s="24">
        <v>1</v>
      </c>
      <c r="R15" s="24"/>
      <c r="S15" s="24"/>
    </row>
    <row r="16" spans="1:19" s="34" customFormat="1" ht="15.75">
      <c r="A16" s="29" t="s">
        <v>13</v>
      </c>
      <c r="B16" s="29" t="s">
        <v>22</v>
      </c>
      <c r="C16" s="93">
        <v>426</v>
      </c>
      <c r="D16" s="48"/>
      <c r="E16" s="93">
        <v>430</v>
      </c>
      <c r="F16" s="93">
        <v>425</v>
      </c>
      <c r="G16" s="93">
        <v>439</v>
      </c>
      <c r="H16" s="48">
        <v>425</v>
      </c>
      <c r="I16" s="93">
        <v>461</v>
      </c>
      <c r="J16" s="52"/>
      <c r="K16" s="68"/>
      <c r="L16" s="32">
        <f t="shared" si="0"/>
        <v>2606</v>
      </c>
      <c r="M16" s="29">
        <v>7</v>
      </c>
      <c r="N16" s="29">
        <v>1</v>
      </c>
      <c r="O16" s="32">
        <f>L16-2446</f>
        <v>160</v>
      </c>
      <c r="P16" s="29">
        <v>2</v>
      </c>
      <c r="Q16" s="33">
        <v>1</v>
      </c>
      <c r="R16" s="33"/>
      <c r="S16" s="33"/>
    </row>
    <row r="17" spans="1:19" s="25" customFormat="1" ht="16.5" thickBot="1">
      <c r="A17" s="20" t="s">
        <v>14</v>
      </c>
      <c r="B17" s="20" t="s">
        <v>215</v>
      </c>
      <c r="C17" s="53">
        <v>420</v>
      </c>
      <c r="D17" s="173">
        <v>424</v>
      </c>
      <c r="E17" s="53"/>
      <c r="F17" s="173">
        <v>463</v>
      </c>
      <c r="G17" s="53">
        <v>396</v>
      </c>
      <c r="H17" s="53"/>
      <c r="I17" s="173">
        <v>462</v>
      </c>
      <c r="J17" s="173">
        <v>432</v>
      </c>
      <c r="K17" s="208"/>
      <c r="L17" s="27">
        <f t="shared" si="0"/>
        <v>2597</v>
      </c>
      <c r="M17" s="28">
        <v>6</v>
      </c>
      <c r="N17" s="28">
        <v>2</v>
      </c>
      <c r="O17" s="27">
        <v>99</v>
      </c>
      <c r="P17" s="28">
        <v>2</v>
      </c>
      <c r="Q17" s="113">
        <v>1</v>
      </c>
      <c r="R17" s="113"/>
      <c r="S17" s="113"/>
    </row>
    <row r="18" spans="3:19" ht="16.5" thickTop="1">
      <c r="C18" s="6">
        <f aca="true" t="shared" si="1" ref="C18:I18">SUM(C3:C17)</f>
        <v>5175</v>
      </c>
      <c r="D18" s="6">
        <f t="shared" si="1"/>
        <v>4239</v>
      </c>
      <c r="E18" s="6">
        <f t="shared" si="1"/>
        <v>5696</v>
      </c>
      <c r="F18" s="6">
        <f t="shared" si="1"/>
        <v>5662</v>
      </c>
      <c r="G18" s="6">
        <f t="shared" si="1"/>
        <v>4570</v>
      </c>
      <c r="H18" s="6">
        <f t="shared" si="1"/>
        <v>4312</v>
      </c>
      <c r="I18" s="6">
        <f t="shared" si="1"/>
        <v>5211</v>
      </c>
      <c r="J18" s="6">
        <f>SUM(J3:J17)</f>
        <v>3698</v>
      </c>
      <c r="Q18" s="2">
        <f>SUM(Q3:Q17)</f>
        <v>10</v>
      </c>
      <c r="R18" s="2">
        <f>SUM(R3:R17)</f>
        <v>0</v>
      </c>
      <c r="S18" s="2">
        <f>SUM(S3:S17)</f>
        <v>5</v>
      </c>
    </row>
    <row r="19" spans="2:10" ht="15.75">
      <c r="B19" s="1" t="s">
        <v>249</v>
      </c>
      <c r="C19" s="6">
        <f>COUNT(C3:C17)</f>
        <v>12</v>
      </c>
      <c r="D19" s="6">
        <f aca="true" t="shared" si="2" ref="D19:I19">COUNT(D3:D17)</f>
        <v>10</v>
      </c>
      <c r="E19" s="6">
        <f t="shared" si="2"/>
        <v>13</v>
      </c>
      <c r="F19" s="6">
        <f t="shared" si="2"/>
        <v>13</v>
      </c>
      <c r="G19" s="6">
        <f t="shared" si="2"/>
        <v>11</v>
      </c>
      <c r="H19" s="6">
        <f t="shared" si="2"/>
        <v>10</v>
      </c>
      <c r="I19" s="6">
        <f t="shared" si="2"/>
        <v>12</v>
      </c>
      <c r="J19" s="6">
        <f>COUNT(J3:J17)</f>
        <v>9</v>
      </c>
    </row>
    <row r="20" spans="2:19" ht="33" customHeight="1">
      <c r="B20" s="12" t="s">
        <v>129</v>
      </c>
      <c r="C20" s="17">
        <f>AVERAGE(C3:C17)</f>
        <v>431.25</v>
      </c>
      <c r="D20" s="17">
        <f aca="true" t="shared" si="3" ref="D20:I20">AVERAGE(D3:D17)</f>
        <v>423.9</v>
      </c>
      <c r="E20" s="17">
        <f t="shared" si="3"/>
        <v>438.15384615384613</v>
      </c>
      <c r="F20" s="17">
        <f t="shared" si="3"/>
        <v>435.53846153846155</v>
      </c>
      <c r="G20" s="17">
        <f t="shared" si="3"/>
        <v>415.45454545454544</v>
      </c>
      <c r="H20" s="17">
        <f t="shared" si="3"/>
        <v>431.2</v>
      </c>
      <c r="I20" s="17">
        <f t="shared" si="3"/>
        <v>434.25</v>
      </c>
      <c r="J20" s="17">
        <f>AVERAGE(J3:J17)</f>
        <v>410.8888888888889</v>
      </c>
      <c r="L20" s="3" t="s">
        <v>30</v>
      </c>
      <c r="M20" s="265" t="s">
        <v>117</v>
      </c>
      <c r="N20" s="265"/>
      <c r="O20" s="3" t="s">
        <v>31</v>
      </c>
      <c r="P20" s="11" t="s">
        <v>118</v>
      </c>
      <c r="R20" s="105" t="s">
        <v>128</v>
      </c>
      <c r="S20" s="105" t="s">
        <v>247</v>
      </c>
    </row>
    <row r="21" spans="12:19" ht="15.75">
      <c r="L21" s="6">
        <f>SUM(L3:L17)</f>
        <v>38563</v>
      </c>
      <c r="M21" s="1">
        <f>SUM(M3:M17)</f>
        <v>68</v>
      </c>
      <c r="N21" s="1">
        <f>SUM(N3:N17)</f>
        <v>52</v>
      </c>
      <c r="O21" s="1">
        <f>SUM(O3:O17)</f>
        <v>676</v>
      </c>
      <c r="P21" s="1">
        <f>SUM(P3:P17)</f>
        <v>20</v>
      </c>
      <c r="R21" s="2">
        <f>M21-N21</f>
        <v>16</v>
      </c>
      <c r="S21" s="2">
        <f>SUM(Q18:S18)</f>
        <v>15</v>
      </c>
    </row>
    <row r="23" spans="3:13" ht="15.75">
      <c r="C23" s="272" t="s">
        <v>40</v>
      </c>
      <c r="D23" s="272"/>
      <c r="L23" s="1" t="s">
        <v>130</v>
      </c>
      <c r="M23" s="19">
        <f>L21/S21</f>
        <v>2570.866666666667</v>
      </c>
    </row>
    <row r="24" spans="3:13" ht="15.75">
      <c r="C24" s="268" t="s">
        <v>134</v>
      </c>
      <c r="D24" s="268"/>
      <c r="L24" s="1" t="s">
        <v>260</v>
      </c>
      <c r="M24" s="6">
        <f>L3+L5+L7+L9+L11+L12+L14+L16+L31+L34+L36+L38+L40+L42+L44</f>
        <v>38188</v>
      </c>
    </row>
    <row r="25" spans="3:14" ht="15.75">
      <c r="C25" s="269" t="s">
        <v>135</v>
      </c>
      <c r="D25" s="269"/>
      <c r="I25" s="262" t="s">
        <v>154</v>
      </c>
      <c r="J25" s="262"/>
      <c r="K25" s="262"/>
      <c r="L25" s="12" t="s">
        <v>155</v>
      </c>
      <c r="M25" s="271" t="s">
        <v>128</v>
      </c>
      <c r="N25" s="271"/>
    </row>
    <row r="26" spans="9:14" ht="15.75">
      <c r="I26" s="1">
        <f>M21+M45</f>
        <v>117</v>
      </c>
      <c r="K26" s="1">
        <f>N21+N45</f>
        <v>123</v>
      </c>
      <c r="L26" s="1">
        <f>P21+P45</f>
        <v>32</v>
      </c>
      <c r="M26" s="267">
        <f>I26-K26</f>
        <v>-6</v>
      </c>
      <c r="N26" s="267"/>
    </row>
    <row r="27" spans="1:6" ht="15.75">
      <c r="A27" s="73" t="s">
        <v>144</v>
      </c>
      <c r="B27" s="74"/>
      <c r="C27" s="74" t="s">
        <v>208</v>
      </c>
      <c r="D27" s="74" t="s">
        <v>148</v>
      </c>
      <c r="E27" s="75" t="s">
        <v>143</v>
      </c>
      <c r="F27" s="77"/>
    </row>
    <row r="28" ht="15.75">
      <c r="F28" s="56"/>
    </row>
    <row r="29" spans="2:19" ht="48" thickBot="1">
      <c r="B29" s="3" t="s">
        <v>25</v>
      </c>
      <c r="C29" s="9" t="s">
        <v>115</v>
      </c>
      <c r="D29" s="9" t="s">
        <v>69</v>
      </c>
      <c r="E29" s="9" t="s">
        <v>34</v>
      </c>
      <c r="F29" s="9" t="s">
        <v>174</v>
      </c>
      <c r="G29" s="9" t="s">
        <v>91</v>
      </c>
      <c r="H29" s="9" t="s">
        <v>71</v>
      </c>
      <c r="I29" s="9" t="s">
        <v>124</v>
      </c>
      <c r="J29" s="9" t="s">
        <v>178</v>
      </c>
      <c r="K29" s="9" t="s">
        <v>289</v>
      </c>
      <c r="L29" s="12" t="s">
        <v>30</v>
      </c>
      <c r="M29" s="12" t="s">
        <v>217</v>
      </c>
      <c r="N29" s="12" t="s">
        <v>29</v>
      </c>
      <c r="O29" s="12" t="s">
        <v>31</v>
      </c>
      <c r="P29" s="11" t="s">
        <v>116</v>
      </c>
      <c r="Q29" s="2" t="s">
        <v>191</v>
      </c>
      <c r="R29" s="2" t="s">
        <v>192</v>
      </c>
      <c r="S29" s="2" t="s">
        <v>193</v>
      </c>
    </row>
    <row r="30" spans="1:17" s="148" customFormat="1" ht="15.75">
      <c r="A30" s="144" t="s">
        <v>221</v>
      </c>
      <c r="B30" s="144" t="s">
        <v>17</v>
      </c>
      <c r="C30" s="47"/>
      <c r="D30" s="92">
        <v>433</v>
      </c>
      <c r="E30" s="47">
        <v>422</v>
      </c>
      <c r="F30" s="47">
        <v>415</v>
      </c>
      <c r="G30" s="47"/>
      <c r="H30" s="92">
        <v>430</v>
      </c>
      <c r="I30" s="92">
        <v>452</v>
      </c>
      <c r="J30" s="47">
        <v>420</v>
      </c>
      <c r="K30" s="203"/>
      <c r="L30" s="146">
        <f>SUM(C30:K30)</f>
        <v>2572</v>
      </c>
      <c r="M30" s="144">
        <v>5</v>
      </c>
      <c r="N30" s="144">
        <v>3</v>
      </c>
      <c r="O30" s="144">
        <v>3</v>
      </c>
      <c r="P30" s="144">
        <v>2</v>
      </c>
      <c r="Q30" s="148">
        <v>1</v>
      </c>
    </row>
    <row r="31" spans="1:19" s="158" customFormat="1" ht="15.75">
      <c r="A31" s="154" t="s">
        <v>222</v>
      </c>
      <c r="B31" s="154" t="s">
        <v>218</v>
      </c>
      <c r="C31" s="48">
        <v>374</v>
      </c>
      <c r="D31" s="93">
        <v>410</v>
      </c>
      <c r="E31" s="93">
        <v>390</v>
      </c>
      <c r="F31" s="48"/>
      <c r="G31" s="93">
        <v>404</v>
      </c>
      <c r="H31" s="48">
        <v>378</v>
      </c>
      <c r="I31" s="48">
        <v>370</v>
      </c>
      <c r="J31" s="48"/>
      <c r="K31" s="72"/>
      <c r="L31" s="156">
        <f>SUM(C31:K31)</f>
        <v>2326</v>
      </c>
      <c r="M31" s="154">
        <v>3</v>
      </c>
      <c r="N31" s="154">
        <v>5</v>
      </c>
      <c r="O31" s="154">
        <v>-34</v>
      </c>
      <c r="P31" s="154">
        <v>0</v>
      </c>
      <c r="S31" s="158">
        <v>1</v>
      </c>
    </row>
    <row r="32" spans="1:19" s="241" customFormat="1" ht="15.75">
      <c r="A32" s="236" t="s">
        <v>156</v>
      </c>
      <c r="B32" s="236" t="s">
        <v>23</v>
      </c>
      <c r="C32" s="237"/>
      <c r="D32" s="238">
        <v>446</v>
      </c>
      <c r="E32" s="237">
        <v>421</v>
      </c>
      <c r="F32" s="238">
        <v>507</v>
      </c>
      <c r="G32" s="237">
        <v>391</v>
      </c>
      <c r="H32" s="237">
        <v>393</v>
      </c>
      <c r="I32" s="237"/>
      <c r="J32" s="237">
        <v>425</v>
      </c>
      <c r="K32" s="239"/>
      <c r="L32" s="240">
        <f>SUM(C32:K32)</f>
        <v>2583</v>
      </c>
      <c r="M32" s="236">
        <v>2</v>
      </c>
      <c r="N32" s="236">
        <v>6</v>
      </c>
      <c r="O32" s="236">
        <v>-20</v>
      </c>
      <c r="P32" s="236">
        <v>0</v>
      </c>
      <c r="S32" s="241">
        <v>1</v>
      </c>
    </row>
    <row r="33" spans="1:19" s="25" customFormat="1" ht="15.75">
      <c r="A33" s="20" t="s">
        <v>157</v>
      </c>
      <c r="B33" s="144" t="s">
        <v>26</v>
      </c>
      <c r="C33" s="47">
        <v>418</v>
      </c>
      <c r="D33" s="92">
        <v>478</v>
      </c>
      <c r="E33" s="47">
        <v>418</v>
      </c>
      <c r="F33" s="92">
        <v>423</v>
      </c>
      <c r="G33" s="47"/>
      <c r="H33" s="47"/>
      <c r="I33" s="47">
        <v>379</v>
      </c>
      <c r="J33" s="47">
        <v>409</v>
      </c>
      <c r="K33" s="203"/>
      <c r="L33" s="88">
        <f>SUM(C33:K33)</f>
        <v>2525</v>
      </c>
      <c r="M33" s="20">
        <v>2</v>
      </c>
      <c r="N33" s="20">
        <v>6</v>
      </c>
      <c r="O33" s="20">
        <v>-29</v>
      </c>
      <c r="P33" s="20">
        <v>0</v>
      </c>
      <c r="S33" s="25">
        <v>1</v>
      </c>
    </row>
    <row r="34" spans="1:17" s="158" customFormat="1" ht="15.75">
      <c r="A34" s="154" t="s">
        <v>158</v>
      </c>
      <c r="B34" s="154" t="s">
        <v>204</v>
      </c>
      <c r="C34" s="93">
        <v>439</v>
      </c>
      <c r="D34" s="93">
        <v>433</v>
      </c>
      <c r="E34" s="93">
        <v>432</v>
      </c>
      <c r="F34" s="48">
        <v>410</v>
      </c>
      <c r="G34" s="48">
        <v>416</v>
      </c>
      <c r="H34" s="48"/>
      <c r="I34" s="48"/>
      <c r="J34" s="48">
        <v>395</v>
      </c>
      <c r="K34" s="72"/>
      <c r="L34" s="156">
        <f>SUM(C34:K34)</f>
        <v>2525</v>
      </c>
      <c r="M34" s="154">
        <v>5</v>
      </c>
      <c r="N34" s="154">
        <v>3</v>
      </c>
      <c r="O34" s="154">
        <v>26</v>
      </c>
      <c r="P34" s="154">
        <v>2</v>
      </c>
      <c r="Q34" s="158">
        <v>1</v>
      </c>
    </row>
    <row r="35" spans="1:19" s="25" customFormat="1" ht="15.75">
      <c r="A35" s="20" t="s">
        <v>159</v>
      </c>
      <c r="B35" s="144" t="s">
        <v>214</v>
      </c>
      <c r="C35" s="47">
        <v>419</v>
      </c>
      <c r="D35" s="92">
        <v>442</v>
      </c>
      <c r="E35" s="47">
        <v>427</v>
      </c>
      <c r="F35" s="47">
        <v>389</v>
      </c>
      <c r="G35" s="47">
        <v>412</v>
      </c>
      <c r="H35" s="47"/>
      <c r="I35" s="47">
        <v>426</v>
      </c>
      <c r="J35" s="47"/>
      <c r="K35" s="203"/>
      <c r="L35" s="88">
        <f aca="true" t="shared" si="4" ref="L35:L44">SUM(C35:K35)</f>
        <v>2515</v>
      </c>
      <c r="M35" s="20">
        <v>1</v>
      </c>
      <c r="N35" s="20">
        <v>7</v>
      </c>
      <c r="O35" s="20">
        <v>-154</v>
      </c>
      <c r="P35" s="20">
        <v>0</v>
      </c>
      <c r="S35" s="25">
        <v>1</v>
      </c>
    </row>
    <row r="36" spans="1:19" s="158" customFormat="1" ht="15.75">
      <c r="A36" s="154" t="s">
        <v>160</v>
      </c>
      <c r="B36" s="169" t="s">
        <v>19</v>
      </c>
      <c r="C36" s="93">
        <v>433</v>
      </c>
      <c r="D36" s="48">
        <v>416</v>
      </c>
      <c r="E36" s="48">
        <v>417</v>
      </c>
      <c r="F36" s="48"/>
      <c r="G36" s="48"/>
      <c r="H36" s="48">
        <v>411</v>
      </c>
      <c r="I36" s="48">
        <v>422</v>
      </c>
      <c r="J36" s="48">
        <v>427</v>
      </c>
      <c r="K36" s="72"/>
      <c r="L36" s="156">
        <f t="shared" si="4"/>
        <v>2526</v>
      </c>
      <c r="M36" s="154">
        <v>1</v>
      </c>
      <c r="N36" s="154">
        <v>7</v>
      </c>
      <c r="O36" s="154">
        <f>L36-2602</f>
        <v>-76</v>
      </c>
      <c r="P36" s="154">
        <v>0</v>
      </c>
      <c r="S36" s="158">
        <v>1</v>
      </c>
    </row>
    <row r="37" spans="1:19" s="25" customFormat="1" ht="15.75">
      <c r="A37" s="20" t="s">
        <v>161</v>
      </c>
      <c r="B37" s="166" t="s">
        <v>21</v>
      </c>
      <c r="C37" s="47">
        <v>408</v>
      </c>
      <c r="D37" s="47">
        <v>438</v>
      </c>
      <c r="E37" s="47">
        <v>437</v>
      </c>
      <c r="F37" s="92">
        <v>443</v>
      </c>
      <c r="G37" s="47">
        <v>434</v>
      </c>
      <c r="H37" s="47"/>
      <c r="I37" s="47"/>
      <c r="J37" s="47">
        <v>393</v>
      </c>
      <c r="K37" s="203"/>
      <c r="L37" s="88">
        <f t="shared" si="4"/>
        <v>2553</v>
      </c>
      <c r="M37" s="20">
        <v>1</v>
      </c>
      <c r="N37" s="20">
        <v>7</v>
      </c>
      <c r="O37" s="20">
        <v>-102</v>
      </c>
      <c r="P37" s="20">
        <v>0</v>
      </c>
      <c r="S37" s="25">
        <v>1</v>
      </c>
    </row>
    <row r="38" spans="1:19" s="158" customFormat="1" ht="15.75">
      <c r="A38" s="154" t="s">
        <v>162</v>
      </c>
      <c r="B38" s="197" t="s">
        <v>24</v>
      </c>
      <c r="C38" s="93">
        <v>433</v>
      </c>
      <c r="D38" s="93">
        <v>454</v>
      </c>
      <c r="E38" s="48"/>
      <c r="F38" s="48">
        <v>429</v>
      </c>
      <c r="G38" s="48">
        <v>383</v>
      </c>
      <c r="H38" s="48">
        <v>414</v>
      </c>
      <c r="I38" s="48"/>
      <c r="J38" s="48"/>
      <c r="K38" s="72">
        <v>432</v>
      </c>
      <c r="L38" s="156">
        <f t="shared" si="4"/>
        <v>2545</v>
      </c>
      <c r="M38" s="154">
        <v>2</v>
      </c>
      <c r="N38" s="154">
        <v>6</v>
      </c>
      <c r="O38" s="154">
        <f>L38-2619</f>
        <v>-74</v>
      </c>
      <c r="P38" s="154">
        <v>0</v>
      </c>
      <c r="S38" s="158">
        <v>1</v>
      </c>
    </row>
    <row r="39" spans="1:19" s="25" customFormat="1" ht="15.75">
      <c r="A39" s="20" t="s">
        <v>163</v>
      </c>
      <c r="B39" s="144" t="s">
        <v>20</v>
      </c>
      <c r="C39" s="47">
        <v>401</v>
      </c>
      <c r="D39" s="92">
        <v>434</v>
      </c>
      <c r="E39" s="92">
        <v>453</v>
      </c>
      <c r="F39" s="47"/>
      <c r="G39" s="47"/>
      <c r="H39" s="47">
        <v>420</v>
      </c>
      <c r="I39" s="47"/>
      <c r="J39" s="47">
        <v>381</v>
      </c>
      <c r="K39" s="92">
        <v>422</v>
      </c>
      <c r="L39" s="88">
        <f t="shared" si="4"/>
        <v>2511</v>
      </c>
      <c r="M39" s="20">
        <v>3</v>
      </c>
      <c r="N39" s="20">
        <v>5</v>
      </c>
      <c r="O39" s="20">
        <v>-6</v>
      </c>
      <c r="P39" s="20">
        <v>0</v>
      </c>
      <c r="S39" s="25">
        <v>1</v>
      </c>
    </row>
    <row r="40" spans="1:19" s="158" customFormat="1" ht="15.75">
      <c r="A40" s="154" t="s">
        <v>164</v>
      </c>
      <c r="B40" s="154" t="s">
        <v>18</v>
      </c>
      <c r="C40" s="48"/>
      <c r="D40" s="48">
        <v>404</v>
      </c>
      <c r="E40" s="48">
        <v>416</v>
      </c>
      <c r="F40" s="48"/>
      <c r="G40" s="228">
        <v>439</v>
      </c>
      <c r="H40" s="48">
        <v>435</v>
      </c>
      <c r="I40" s="48">
        <v>434</v>
      </c>
      <c r="J40" s="48"/>
      <c r="K40" s="228">
        <v>437</v>
      </c>
      <c r="L40" s="156">
        <f t="shared" si="4"/>
        <v>2565</v>
      </c>
      <c r="M40" s="154">
        <v>2</v>
      </c>
      <c r="N40" s="154">
        <v>6</v>
      </c>
      <c r="O40" s="154">
        <v>-142</v>
      </c>
      <c r="P40" s="154">
        <v>0</v>
      </c>
      <c r="S40" s="158">
        <v>1</v>
      </c>
    </row>
    <row r="41" spans="1:17" s="25" customFormat="1" ht="15.75">
      <c r="A41" s="20" t="s">
        <v>165</v>
      </c>
      <c r="B41" s="144" t="s">
        <v>216</v>
      </c>
      <c r="C41" s="47">
        <v>393</v>
      </c>
      <c r="D41" s="229">
        <v>474</v>
      </c>
      <c r="E41" s="47"/>
      <c r="F41" s="47"/>
      <c r="G41" s="47">
        <v>405</v>
      </c>
      <c r="H41" s="229">
        <v>466</v>
      </c>
      <c r="I41" s="229">
        <v>449</v>
      </c>
      <c r="J41" s="47"/>
      <c r="K41" s="203">
        <v>422</v>
      </c>
      <c r="L41" s="88">
        <f>SUM(C41:K41)</f>
        <v>2609</v>
      </c>
      <c r="M41" s="20">
        <v>5</v>
      </c>
      <c r="N41" s="20">
        <v>3</v>
      </c>
      <c r="O41" s="20">
        <v>14</v>
      </c>
      <c r="P41" s="20">
        <v>2</v>
      </c>
      <c r="Q41" s="25">
        <v>1</v>
      </c>
    </row>
    <row r="42" spans="1:17" s="158" customFormat="1" ht="15.75">
      <c r="A42" s="154" t="s">
        <v>166</v>
      </c>
      <c r="B42" s="154" t="s">
        <v>223</v>
      </c>
      <c r="C42" s="228">
        <v>424</v>
      </c>
      <c r="D42" s="228">
        <v>465</v>
      </c>
      <c r="E42" s="48">
        <v>414</v>
      </c>
      <c r="F42" s="48"/>
      <c r="G42" s="48"/>
      <c r="H42" s="48">
        <v>390</v>
      </c>
      <c r="I42" s="48">
        <v>401</v>
      </c>
      <c r="J42" s="48"/>
      <c r="K42" s="228">
        <v>483</v>
      </c>
      <c r="L42" s="156">
        <f t="shared" si="4"/>
        <v>2577</v>
      </c>
      <c r="M42" s="154">
        <v>5</v>
      </c>
      <c r="N42" s="154">
        <v>3</v>
      </c>
      <c r="O42" s="154">
        <v>89</v>
      </c>
      <c r="P42" s="154">
        <v>2</v>
      </c>
      <c r="Q42" s="158">
        <v>1</v>
      </c>
    </row>
    <row r="43" spans="1:17" s="25" customFormat="1" ht="15.75">
      <c r="A43" s="20" t="s">
        <v>167</v>
      </c>
      <c r="B43" s="144" t="s">
        <v>22</v>
      </c>
      <c r="C43" s="47"/>
      <c r="D43" s="229">
        <v>422</v>
      </c>
      <c r="E43" s="47"/>
      <c r="F43" s="47"/>
      <c r="G43" s="229">
        <v>416</v>
      </c>
      <c r="H43" s="229">
        <v>419</v>
      </c>
      <c r="I43" s="229">
        <v>410</v>
      </c>
      <c r="J43" s="47">
        <v>341</v>
      </c>
      <c r="K43" s="229">
        <v>465</v>
      </c>
      <c r="L43" s="88">
        <f t="shared" si="4"/>
        <v>2473</v>
      </c>
      <c r="M43" s="20">
        <v>7</v>
      </c>
      <c r="N43" s="20">
        <v>1</v>
      </c>
      <c r="O43" s="20">
        <v>71</v>
      </c>
      <c r="P43" s="20">
        <v>2</v>
      </c>
      <c r="Q43" s="25">
        <v>1</v>
      </c>
    </row>
    <row r="44" spans="1:19" s="158" customFormat="1" ht="16.5" thickBot="1">
      <c r="A44" s="154" t="s">
        <v>168</v>
      </c>
      <c r="B44" s="154" t="s">
        <v>15</v>
      </c>
      <c r="C44" s="50">
        <v>419</v>
      </c>
      <c r="D44" s="232">
        <v>449</v>
      </c>
      <c r="E44" s="50">
        <v>412</v>
      </c>
      <c r="F44" s="50"/>
      <c r="G44" s="50"/>
      <c r="H44" s="232">
        <v>445</v>
      </c>
      <c r="I44" s="50">
        <v>437</v>
      </c>
      <c r="J44" s="50"/>
      <c r="K44" s="231">
        <v>489</v>
      </c>
      <c r="L44" s="161">
        <f t="shared" si="4"/>
        <v>2651</v>
      </c>
      <c r="M44" s="160">
        <v>5</v>
      </c>
      <c r="N44" s="160">
        <v>3</v>
      </c>
      <c r="O44" s="160">
        <f>L44-2585</f>
        <v>66</v>
      </c>
      <c r="P44" s="160">
        <v>2</v>
      </c>
      <c r="Q44" s="179">
        <v>1</v>
      </c>
      <c r="R44" s="179"/>
      <c r="S44" s="179"/>
    </row>
    <row r="45" spans="3:19" ht="16.5" thickTop="1">
      <c r="C45" s="7">
        <f aca="true" t="shared" si="5" ref="C45:I45">SUM(C30:C44)</f>
        <v>4561</v>
      </c>
      <c r="D45" s="7">
        <f t="shared" si="5"/>
        <v>6598</v>
      </c>
      <c r="E45" s="7">
        <f t="shared" si="5"/>
        <v>5059</v>
      </c>
      <c r="F45" s="7">
        <f t="shared" si="5"/>
        <v>3016</v>
      </c>
      <c r="G45" s="7">
        <f t="shared" si="5"/>
        <v>3700</v>
      </c>
      <c r="H45" s="7">
        <f t="shared" si="5"/>
        <v>4601</v>
      </c>
      <c r="I45" s="7">
        <f t="shared" si="5"/>
        <v>4180</v>
      </c>
      <c r="J45" s="7">
        <f>SUM(J30:J44)</f>
        <v>3191</v>
      </c>
      <c r="K45" s="7">
        <f>SUM(K30:K44)</f>
        <v>3150</v>
      </c>
      <c r="M45" s="1">
        <f>SUM(M30:M44)</f>
        <v>49</v>
      </c>
      <c r="N45" s="1">
        <f>SUM(N30:N44)</f>
        <v>71</v>
      </c>
      <c r="O45" s="1">
        <f>SUM(O30:O44)</f>
        <v>-368</v>
      </c>
      <c r="P45" s="1">
        <f>SUM(P30:P44)</f>
        <v>12</v>
      </c>
      <c r="Q45" s="1">
        <f>SUM(Q30:Q44)+Q18</f>
        <v>16</v>
      </c>
      <c r="R45" s="1">
        <f>SUM(R30:R44)+R18</f>
        <v>0</v>
      </c>
      <c r="S45" s="1">
        <f>SUM(S30:S44)+S18</f>
        <v>14</v>
      </c>
    </row>
    <row r="46" spans="2:11" ht="31.5">
      <c r="B46" s="83" t="s">
        <v>279</v>
      </c>
      <c r="C46" s="1">
        <f>COUNT(C30:C44)</f>
        <v>11</v>
      </c>
      <c r="D46" s="1">
        <f aca="true" t="shared" si="6" ref="D46:I46">COUNT(D30:D44)</f>
        <v>15</v>
      </c>
      <c r="E46" s="1">
        <f t="shared" si="6"/>
        <v>12</v>
      </c>
      <c r="F46" s="1">
        <f t="shared" si="6"/>
        <v>7</v>
      </c>
      <c r="G46" s="1">
        <f t="shared" si="6"/>
        <v>9</v>
      </c>
      <c r="H46" s="1">
        <f t="shared" si="6"/>
        <v>11</v>
      </c>
      <c r="I46" s="1">
        <f t="shared" si="6"/>
        <v>10</v>
      </c>
      <c r="J46" s="1">
        <f>COUNT(J30:J44)</f>
        <v>8</v>
      </c>
      <c r="K46" s="1">
        <f>COUNT(K30:K44)</f>
        <v>7</v>
      </c>
    </row>
    <row r="47" spans="2:19" ht="31.5">
      <c r="B47" s="12" t="s">
        <v>278</v>
      </c>
      <c r="C47" s="17">
        <f aca="true" t="shared" si="7" ref="C47:I47">C45/C46</f>
        <v>414.6363636363636</v>
      </c>
      <c r="D47" s="17">
        <f t="shared" si="7"/>
        <v>439.8666666666667</v>
      </c>
      <c r="E47" s="17">
        <f t="shared" si="7"/>
        <v>421.5833333333333</v>
      </c>
      <c r="F47" s="17">
        <f t="shared" si="7"/>
        <v>430.85714285714283</v>
      </c>
      <c r="G47" s="17">
        <f t="shared" si="7"/>
        <v>411.1111111111111</v>
      </c>
      <c r="H47" s="17">
        <f t="shared" si="7"/>
        <v>418.27272727272725</v>
      </c>
      <c r="I47" s="17">
        <f t="shared" si="7"/>
        <v>418</v>
      </c>
      <c r="J47" s="17">
        <f>J45/J46</f>
        <v>398.875</v>
      </c>
      <c r="K47" s="17">
        <f>K45/K46</f>
        <v>450</v>
      </c>
      <c r="L47" s="3" t="s">
        <v>30</v>
      </c>
      <c r="M47" s="265" t="s">
        <v>117</v>
      </c>
      <c r="N47" s="265"/>
      <c r="O47" s="3" t="s">
        <v>31</v>
      </c>
      <c r="P47" s="11" t="s">
        <v>118</v>
      </c>
      <c r="R47" s="105" t="s">
        <v>128</v>
      </c>
      <c r="S47" s="105" t="s">
        <v>247</v>
      </c>
    </row>
    <row r="48" spans="12:19" ht="15.75">
      <c r="L48" s="6">
        <f>SUM(L30:L44)+L21</f>
        <v>76619</v>
      </c>
      <c r="M48" s="6">
        <f>SUM(M30:M44)+M21</f>
        <v>117</v>
      </c>
      <c r="N48" s="6">
        <f>SUM(N30:N44)+N21</f>
        <v>123</v>
      </c>
      <c r="O48" s="6">
        <f>SUM(O30:O44)+O21</f>
        <v>308</v>
      </c>
      <c r="P48" s="6">
        <f>SUM(P30:P44)+P21</f>
        <v>32</v>
      </c>
      <c r="R48" s="2">
        <f>M48-N48</f>
        <v>-6</v>
      </c>
      <c r="S48" s="2">
        <f>SUM(Q45:S45)</f>
        <v>30</v>
      </c>
    </row>
    <row r="50" spans="12:13" ht="15.75">
      <c r="L50" s="1" t="s">
        <v>130</v>
      </c>
      <c r="M50" s="19">
        <f>L48/S48</f>
        <v>2553.9666666666667</v>
      </c>
    </row>
  </sheetData>
  <sheetProtection/>
  <mergeCells count="10">
    <mergeCell ref="M47:N47"/>
    <mergeCell ref="C1:K1"/>
    <mergeCell ref="M1:N1"/>
    <mergeCell ref="C23:D23"/>
    <mergeCell ref="M20:N20"/>
    <mergeCell ref="M26:N26"/>
    <mergeCell ref="I25:K25"/>
    <mergeCell ref="C24:D24"/>
    <mergeCell ref="C25:D25"/>
    <mergeCell ref="M25:N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S50"/>
  <sheetViews>
    <sheetView zoomScale="90" zoomScaleNormal="90" zoomScalePageLayoutView="0" workbookViewId="0" topLeftCell="A20">
      <selection activeCell="F44" sqref="F44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6" width="9.125" style="1" customWidth="1"/>
    <col min="7" max="7" width="10.625" style="1" customWidth="1"/>
    <col min="8" max="8" width="10.375" style="1" bestFit="1" customWidth="1"/>
    <col min="9" max="10" width="9.125" style="1" customWidth="1"/>
    <col min="11" max="11" width="11.375" style="1" customWidth="1"/>
    <col min="12" max="12" width="18.2539062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1.00390625" style="1" customWidth="1"/>
    <col min="18" max="18" width="11.75390625" style="0" customWidth="1"/>
    <col min="19" max="19" width="11.25390625" style="0" customWidth="1"/>
  </cols>
  <sheetData>
    <row r="1" spans="3:19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M1" s="265" t="s">
        <v>28</v>
      </c>
      <c r="N1" s="265"/>
      <c r="Q1" s="2"/>
      <c r="R1" s="2"/>
      <c r="S1" s="2"/>
    </row>
    <row r="2" spans="2:19" ht="34.5" customHeight="1" thickBot="1">
      <c r="B2" s="3" t="s">
        <v>25</v>
      </c>
      <c r="C2" s="9" t="s">
        <v>171</v>
      </c>
      <c r="D2" s="9" t="s">
        <v>70</v>
      </c>
      <c r="E2" s="9" t="s">
        <v>172</v>
      </c>
      <c r="F2" s="9" t="s">
        <v>173</v>
      </c>
      <c r="G2" s="9" t="s">
        <v>100</v>
      </c>
      <c r="H2" s="9" t="s">
        <v>153</v>
      </c>
      <c r="I2" s="9" t="s">
        <v>210</v>
      </c>
      <c r="J2" s="9" t="s">
        <v>137</v>
      </c>
      <c r="L2" s="12" t="s">
        <v>30</v>
      </c>
      <c r="M2" s="12" t="s">
        <v>215</v>
      </c>
      <c r="N2" s="12" t="s">
        <v>29</v>
      </c>
      <c r="O2" s="12" t="s">
        <v>31</v>
      </c>
      <c r="P2" s="11" t="s">
        <v>116</v>
      </c>
      <c r="Q2" s="2" t="s">
        <v>191</v>
      </c>
      <c r="R2" s="2" t="s">
        <v>192</v>
      </c>
      <c r="S2" s="2" t="s">
        <v>193</v>
      </c>
    </row>
    <row r="3" spans="1:19" s="25" customFormat="1" ht="15.75">
      <c r="A3" s="20" t="s">
        <v>0</v>
      </c>
      <c r="B3" s="20" t="s">
        <v>23</v>
      </c>
      <c r="C3" s="47"/>
      <c r="D3" s="47">
        <v>410</v>
      </c>
      <c r="E3" s="47"/>
      <c r="F3" s="47">
        <v>373</v>
      </c>
      <c r="G3" s="47">
        <v>409</v>
      </c>
      <c r="H3" s="47">
        <v>416</v>
      </c>
      <c r="I3" s="92">
        <v>450</v>
      </c>
      <c r="J3" s="92">
        <v>450</v>
      </c>
      <c r="K3" s="39"/>
      <c r="L3" s="23">
        <f aca="true" t="shared" si="0" ref="L3:L15">SUM(C3:K3)</f>
        <v>2508</v>
      </c>
      <c r="M3" s="20">
        <v>2</v>
      </c>
      <c r="N3" s="20">
        <v>6</v>
      </c>
      <c r="O3" s="20">
        <v>-122</v>
      </c>
      <c r="P3" s="20">
        <v>0</v>
      </c>
      <c r="Q3" s="24"/>
      <c r="R3" s="24"/>
      <c r="S3" s="24">
        <v>1</v>
      </c>
    </row>
    <row r="4" spans="1:19" s="34" customFormat="1" ht="15.75">
      <c r="A4" s="29" t="s">
        <v>1</v>
      </c>
      <c r="B4" s="29" t="s">
        <v>218</v>
      </c>
      <c r="C4" s="93">
        <v>376</v>
      </c>
      <c r="D4" s="93">
        <v>391</v>
      </c>
      <c r="E4" s="48">
        <v>350</v>
      </c>
      <c r="F4" s="93">
        <v>378</v>
      </c>
      <c r="G4" s="48">
        <v>361</v>
      </c>
      <c r="H4" s="93">
        <v>369</v>
      </c>
      <c r="I4" s="48"/>
      <c r="J4" s="48"/>
      <c r="K4" s="44"/>
      <c r="L4" s="32">
        <f t="shared" si="0"/>
        <v>2225</v>
      </c>
      <c r="M4" s="29">
        <v>6</v>
      </c>
      <c r="N4" s="29">
        <v>2</v>
      </c>
      <c r="O4" s="29">
        <v>54</v>
      </c>
      <c r="P4" s="29">
        <v>2</v>
      </c>
      <c r="Q4" s="33">
        <v>1</v>
      </c>
      <c r="R4" s="33"/>
      <c r="S4" s="33"/>
    </row>
    <row r="5" spans="1:19" s="25" customFormat="1" ht="15.75">
      <c r="A5" s="20" t="s">
        <v>2</v>
      </c>
      <c r="B5" s="20" t="s">
        <v>17</v>
      </c>
      <c r="C5" s="47">
        <v>398</v>
      </c>
      <c r="D5" s="47">
        <v>412</v>
      </c>
      <c r="E5" s="47"/>
      <c r="F5" s="47"/>
      <c r="G5" s="47">
        <v>425</v>
      </c>
      <c r="H5" s="47">
        <v>419</v>
      </c>
      <c r="I5" s="92">
        <v>455</v>
      </c>
      <c r="J5" s="92">
        <v>433</v>
      </c>
      <c r="K5" s="39"/>
      <c r="L5" s="23">
        <f t="shared" si="0"/>
        <v>2542</v>
      </c>
      <c r="M5" s="20">
        <v>2</v>
      </c>
      <c r="N5" s="20">
        <v>6</v>
      </c>
      <c r="O5" s="20">
        <v>-87</v>
      </c>
      <c r="P5" s="20">
        <v>0</v>
      </c>
      <c r="Q5" s="24"/>
      <c r="R5" s="24"/>
      <c r="S5" s="24">
        <v>1</v>
      </c>
    </row>
    <row r="6" spans="1:19" s="34" customFormat="1" ht="15.75">
      <c r="A6" s="29" t="s">
        <v>3</v>
      </c>
      <c r="B6" s="72" t="s">
        <v>15</v>
      </c>
      <c r="C6" s="48"/>
      <c r="D6" s="93">
        <v>443</v>
      </c>
      <c r="E6" s="48"/>
      <c r="F6" s="93">
        <v>429</v>
      </c>
      <c r="G6" s="48">
        <v>403</v>
      </c>
      <c r="H6" s="93">
        <v>445</v>
      </c>
      <c r="I6" s="93">
        <v>437</v>
      </c>
      <c r="J6" s="48">
        <v>412</v>
      </c>
      <c r="K6" s="44"/>
      <c r="L6" s="32">
        <f t="shared" si="0"/>
        <v>2569</v>
      </c>
      <c r="M6" s="29">
        <v>6</v>
      </c>
      <c r="N6" s="29">
        <v>2</v>
      </c>
      <c r="O6" s="32">
        <v>58</v>
      </c>
      <c r="P6" s="29">
        <v>2</v>
      </c>
      <c r="Q6" s="33">
        <v>1</v>
      </c>
      <c r="R6" s="33"/>
      <c r="S6" s="33"/>
    </row>
    <row r="7" spans="1:19" s="25" customFormat="1" ht="15.75">
      <c r="A7" s="20" t="s">
        <v>4</v>
      </c>
      <c r="B7" s="20" t="s">
        <v>22</v>
      </c>
      <c r="C7" s="93">
        <v>422</v>
      </c>
      <c r="D7" s="49">
        <v>409</v>
      </c>
      <c r="E7" s="93">
        <v>409</v>
      </c>
      <c r="F7" s="47"/>
      <c r="G7" s="49">
        <v>403</v>
      </c>
      <c r="H7" s="93">
        <v>435</v>
      </c>
      <c r="I7" s="49"/>
      <c r="J7" s="93">
        <v>457</v>
      </c>
      <c r="K7" s="39"/>
      <c r="L7" s="23">
        <f t="shared" si="0"/>
        <v>2535</v>
      </c>
      <c r="M7" s="20">
        <v>6</v>
      </c>
      <c r="N7" s="20">
        <v>2</v>
      </c>
      <c r="O7" s="23">
        <v>89</v>
      </c>
      <c r="P7" s="20">
        <v>2</v>
      </c>
      <c r="Q7" s="24">
        <v>1</v>
      </c>
      <c r="R7" s="24"/>
      <c r="S7" s="24"/>
    </row>
    <row r="8" spans="1:19" s="25" customFormat="1" ht="15.75">
      <c r="A8" s="20" t="s">
        <v>5</v>
      </c>
      <c r="B8" s="20" t="s">
        <v>26</v>
      </c>
      <c r="C8" s="47">
        <v>405</v>
      </c>
      <c r="D8" s="47">
        <v>419</v>
      </c>
      <c r="E8" s="47"/>
      <c r="F8" s="47">
        <v>411</v>
      </c>
      <c r="G8" s="47"/>
      <c r="H8" s="47">
        <v>405</v>
      </c>
      <c r="I8" s="92">
        <v>450</v>
      </c>
      <c r="J8" s="92">
        <v>439</v>
      </c>
      <c r="K8" s="39"/>
      <c r="L8" s="23">
        <f t="shared" si="0"/>
        <v>2529</v>
      </c>
      <c r="M8" s="20">
        <v>2</v>
      </c>
      <c r="N8" s="20">
        <v>6</v>
      </c>
      <c r="O8" s="20">
        <v>-147</v>
      </c>
      <c r="P8" s="20">
        <v>0</v>
      </c>
      <c r="Q8" s="24"/>
      <c r="R8" s="24"/>
      <c r="S8" s="24">
        <v>1</v>
      </c>
    </row>
    <row r="9" spans="1:19" s="34" customFormat="1" ht="15.75">
      <c r="A9" s="29" t="s">
        <v>6</v>
      </c>
      <c r="B9" s="29" t="s">
        <v>16</v>
      </c>
      <c r="C9" s="48"/>
      <c r="D9" s="48">
        <v>384</v>
      </c>
      <c r="E9" s="48"/>
      <c r="F9" s="48">
        <v>405</v>
      </c>
      <c r="G9" s="48">
        <v>420</v>
      </c>
      <c r="H9" s="48">
        <v>421</v>
      </c>
      <c r="I9" s="48">
        <v>444</v>
      </c>
      <c r="J9" s="93">
        <v>476</v>
      </c>
      <c r="K9" s="44"/>
      <c r="L9" s="32">
        <f t="shared" si="0"/>
        <v>2550</v>
      </c>
      <c r="M9" s="29">
        <v>1</v>
      </c>
      <c r="N9" s="29">
        <v>7</v>
      </c>
      <c r="O9" s="32">
        <v>-110</v>
      </c>
      <c r="P9" s="29">
        <v>0</v>
      </c>
      <c r="Q9" s="33"/>
      <c r="R9" s="33"/>
      <c r="S9" s="33">
        <v>1</v>
      </c>
    </row>
    <row r="10" spans="1:19" s="25" customFormat="1" ht="15.75">
      <c r="A10" s="20" t="s">
        <v>7</v>
      </c>
      <c r="B10" s="37" t="s">
        <v>18</v>
      </c>
      <c r="C10" s="47">
        <v>397</v>
      </c>
      <c r="D10" s="47"/>
      <c r="E10" s="47">
        <v>425</v>
      </c>
      <c r="F10" s="47"/>
      <c r="G10" s="47">
        <v>397</v>
      </c>
      <c r="H10" s="47">
        <v>404</v>
      </c>
      <c r="I10" s="92">
        <v>458</v>
      </c>
      <c r="J10" s="47">
        <v>415</v>
      </c>
      <c r="K10" s="39"/>
      <c r="L10" s="23">
        <f t="shared" si="0"/>
        <v>2496</v>
      </c>
      <c r="M10" s="20">
        <v>1</v>
      </c>
      <c r="N10" s="20">
        <v>7</v>
      </c>
      <c r="O10" s="20">
        <v>-110</v>
      </c>
      <c r="P10" s="20">
        <v>0</v>
      </c>
      <c r="Q10" s="24"/>
      <c r="R10" s="24"/>
      <c r="S10" s="24">
        <v>1</v>
      </c>
    </row>
    <row r="11" spans="1:19" s="34" customFormat="1" ht="15.75">
      <c r="A11" s="29" t="s">
        <v>8</v>
      </c>
      <c r="B11" s="29" t="s">
        <v>20</v>
      </c>
      <c r="C11" s="48"/>
      <c r="D11" s="48">
        <v>410</v>
      </c>
      <c r="E11" s="48">
        <v>409</v>
      </c>
      <c r="F11" s="48">
        <v>420</v>
      </c>
      <c r="G11" s="48"/>
      <c r="H11" s="93">
        <v>432</v>
      </c>
      <c r="I11" s="93">
        <v>428</v>
      </c>
      <c r="J11" s="93">
        <v>448</v>
      </c>
      <c r="K11" s="44"/>
      <c r="L11" s="32">
        <f t="shared" si="0"/>
        <v>2547</v>
      </c>
      <c r="M11" s="29">
        <v>5</v>
      </c>
      <c r="N11" s="29">
        <v>3</v>
      </c>
      <c r="O11" s="32">
        <v>6</v>
      </c>
      <c r="P11" s="29">
        <v>2</v>
      </c>
      <c r="Q11" s="33">
        <v>1</v>
      </c>
      <c r="R11" s="33"/>
      <c r="S11" s="33"/>
    </row>
    <row r="12" spans="1:19" s="25" customFormat="1" ht="15.75">
      <c r="A12" s="20" t="s">
        <v>9</v>
      </c>
      <c r="B12" s="20" t="s">
        <v>24</v>
      </c>
      <c r="C12" s="47">
        <v>382</v>
      </c>
      <c r="D12" s="47">
        <v>410</v>
      </c>
      <c r="E12" s="47"/>
      <c r="F12" s="92">
        <v>428</v>
      </c>
      <c r="G12" s="92">
        <v>417</v>
      </c>
      <c r="H12" s="47">
        <v>413</v>
      </c>
      <c r="I12" s="47"/>
      <c r="J12" s="92">
        <v>441</v>
      </c>
      <c r="K12" s="39"/>
      <c r="L12" s="23">
        <f t="shared" si="0"/>
        <v>2491</v>
      </c>
      <c r="M12" s="20">
        <v>3</v>
      </c>
      <c r="N12" s="20">
        <v>5</v>
      </c>
      <c r="O12" s="23">
        <v>-70</v>
      </c>
      <c r="P12" s="20">
        <v>0</v>
      </c>
      <c r="Q12" s="24"/>
      <c r="R12" s="24"/>
      <c r="S12" s="24">
        <v>1</v>
      </c>
    </row>
    <row r="13" spans="1:19" s="34" customFormat="1" ht="15.75">
      <c r="A13" s="29" t="s">
        <v>10</v>
      </c>
      <c r="B13" s="29" t="s">
        <v>21</v>
      </c>
      <c r="C13" s="48"/>
      <c r="D13" s="93">
        <v>445</v>
      </c>
      <c r="E13" s="48">
        <v>366</v>
      </c>
      <c r="F13" s="93">
        <v>443</v>
      </c>
      <c r="G13" s="48">
        <v>406</v>
      </c>
      <c r="H13" s="93">
        <v>427</v>
      </c>
      <c r="I13" s="48"/>
      <c r="J13" s="93">
        <v>454</v>
      </c>
      <c r="K13" s="44"/>
      <c r="L13" s="32">
        <f t="shared" si="0"/>
        <v>2541</v>
      </c>
      <c r="M13" s="29">
        <v>6</v>
      </c>
      <c r="N13" s="29">
        <v>2</v>
      </c>
      <c r="O13" s="29">
        <v>35</v>
      </c>
      <c r="P13" s="29">
        <v>2</v>
      </c>
      <c r="Q13" s="33">
        <v>1</v>
      </c>
      <c r="R13" s="33"/>
      <c r="S13" s="33"/>
    </row>
    <row r="14" spans="1:19" s="25" customFormat="1" ht="15.75">
      <c r="A14" s="20" t="s">
        <v>11</v>
      </c>
      <c r="B14" s="20" t="s">
        <v>19</v>
      </c>
      <c r="C14" s="47">
        <v>379</v>
      </c>
      <c r="D14" s="92">
        <v>430</v>
      </c>
      <c r="E14" s="47"/>
      <c r="F14" s="92">
        <v>418</v>
      </c>
      <c r="G14" s="47"/>
      <c r="H14" s="47">
        <v>398</v>
      </c>
      <c r="I14" s="92">
        <v>458</v>
      </c>
      <c r="J14" s="92">
        <v>443</v>
      </c>
      <c r="K14" s="39"/>
      <c r="L14" s="23">
        <f t="shared" si="0"/>
        <v>2526</v>
      </c>
      <c r="M14" s="20">
        <v>6</v>
      </c>
      <c r="N14" s="20">
        <v>2</v>
      </c>
      <c r="O14" s="23">
        <f>L14-2405</f>
        <v>121</v>
      </c>
      <c r="P14" s="20">
        <v>2</v>
      </c>
      <c r="Q14" s="24">
        <v>1</v>
      </c>
      <c r="R14" s="24"/>
      <c r="S14" s="24"/>
    </row>
    <row r="15" spans="1:19" s="34" customFormat="1" ht="15.75">
      <c r="A15" s="29" t="s">
        <v>12</v>
      </c>
      <c r="B15" s="29" t="s">
        <v>214</v>
      </c>
      <c r="C15" s="48"/>
      <c r="D15" s="48">
        <v>417</v>
      </c>
      <c r="E15" s="48">
        <v>420</v>
      </c>
      <c r="F15" s="48">
        <v>397</v>
      </c>
      <c r="G15" s="93">
        <v>464</v>
      </c>
      <c r="H15" s="48"/>
      <c r="I15" s="93">
        <v>472</v>
      </c>
      <c r="J15" s="48">
        <v>424</v>
      </c>
      <c r="K15" s="44"/>
      <c r="L15" s="32">
        <f t="shared" si="0"/>
        <v>2594</v>
      </c>
      <c r="M15" s="29">
        <v>2</v>
      </c>
      <c r="N15" s="29">
        <v>6</v>
      </c>
      <c r="O15" s="32">
        <f>L15-2656</f>
        <v>-62</v>
      </c>
      <c r="P15" s="29">
        <v>0</v>
      </c>
      <c r="Q15" s="33"/>
      <c r="R15" s="33"/>
      <c r="S15" s="33">
        <v>1</v>
      </c>
    </row>
    <row r="16" spans="1:19" s="25" customFormat="1" ht="15.75">
      <c r="A16" s="20" t="s">
        <v>13</v>
      </c>
      <c r="B16" s="20" t="s">
        <v>204</v>
      </c>
      <c r="C16" s="47">
        <v>413</v>
      </c>
      <c r="D16" s="92">
        <v>441</v>
      </c>
      <c r="E16" s="47">
        <v>184</v>
      </c>
      <c r="F16" s="47">
        <v>186</v>
      </c>
      <c r="G16" s="47">
        <v>347</v>
      </c>
      <c r="H16" s="47"/>
      <c r="I16" s="92">
        <v>446</v>
      </c>
      <c r="J16" s="92">
        <v>434</v>
      </c>
      <c r="K16" s="39"/>
      <c r="L16" s="23">
        <f>SUM(C16:J16)</f>
        <v>2451</v>
      </c>
      <c r="M16" s="20">
        <v>3</v>
      </c>
      <c r="N16" s="20">
        <v>5</v>
      </c>
      <c r="O16" s="23">
        <v>-129</v>
      </c>
      <c r="P16" s="20">
        <v>0</v>
      </c>
      <c r="Q16" s="24"/>
      <c r="R16" s="24"/>
      <c r="S16" s="24">
        <v>1</v>
      </c>
    </row>
    <row r="17" spans="1:19" s="34" customFormat="1" ht="16.5" thickBot="1">
      <c r="A17" s="29" t="s">
        <v>14</v>
      </c>
      <c r="B17" s="29" t="s">
        <v>217</v>
      </c>
      <c r="C17" s="50">
        <v>388</v>
      </c>
      <c r="D17" s="50">
        <v>376</v>
      </c>
      <c r="E17" s="50">
        <v>398</v>
      </c>
      <c r="F17" s="170">
        <v>439</v>
      </c>
      <c r="G17" s="50"/>
      <c r="H17" s="50">
        <v>419</v>
      </c>
      <c r="I17" s="50"/>
      <c r="J17" s="170">
        <v>478</v>
      </c>
      <c r="K17" s="41"/>
      <c r="L17" s="46">
        <f>SUM(C17:K17)</f>
        <v>2498</v>
      </c>
      <c r="M17" s="43">
        <v>2</v>
      </c>
      <c r="N17" s="43">
        <v>6</v>
      </c>
      <c r="O17" s="46">
        <f>L17-2597</f>
        <v>-99</v>
      </c>
      <c r="P17" s="43">
        <v>0</v>
      </c>
      <c r="Q17" s="113"/>
      <c r="R17" s="113"/>
      <c r="S17" s="113">
        <v>1</v>
      </c>
    </row>
    <row r="18" spans="3:19" ht="16.5" thickTop="1">
      <c r="C18" s="6">
        <f aca="true" t="shared" si="1" ref="C18:K18">SUM(C3:C17)</f>
        <v>3560</v>
      </c>
      <c r="D18" s="6">
        <f t="shared" si="1"/>
        <v>5797</v>
      </c>
      <c r="E18" s="6">
        <f>SUM(E3:E15)+E17</f>
        <v>2777</v>
      </c>
      <c r="F18" s="6">
        <f>SUM(F3:F15)+F17</f>
        <v>4541</v>
      </c>
      <c r="G18" s="6">
        <f t="shared" si="1"/>
        <v>4452</v>
      </c>
      <c r="H18" s="6">
        <f t="shared" si="1"/>
        <v>5403</v>
      </c>
      <c r="I18" s="6">
        <f t="shared" si="1"/>
        <v>4498</v>
      </c>
      <c r="J18" s="6">
        <f t="shared" si="1"/>
        <v>6204</v>
      </c>
      <c r="K18" s="6">
        <f t="shared" si="1"/>
        <v>0</v>
      </c>
      <c r="Q18" s="2">
        <f>SUM(Q3:Q17)</f>
        <v>6</v>
      </c>
      <c r="R18" s="2">
        <f>SUM(R3:R17)</f>
        <v>0</v>
      </c>
      <c r="S18" s="2">
        <f>SUM(S3:S17)</f>
        <v>9</v>
      </c>
    </row>
    <row r="19" spans="2:11" ht="15.75">
      <c r="B19" s="1" t="s">
        <v>249</v>
      </c>
      <c r="C19" s="6">
        <f>COUNT(C3:C17)</f>
        <v>9</v>
      </c>
      <c r="D19" s="6">
        <f aca="true" t="shared" si="2" ref="D19:J19">COUNT(D3:D17)</f>
        <v>14</v>
      </c>
      <c r="E19" s="6">
        <f>COUNT(E3:E15)+COUNT(E17)</f>
        <v>7</v>
      </c>
      <c r="F19" s="6">
        <f>COUNT(F3:F15)+COUNT(F17)</f>
        <v>11</v>
      </c>
      <c r="G19" s="6">
        <f t="shared" si="2"/>
        <v>11</v>
      </c>
      <c r="H19" s="6">
        <f t="shared" si="2"/>
        <v>13</v>
      </c>
      <c r="I19" s="6">
        <f t="shared" si="2"/>
        <v>10</v>
      </c>
      <c r="J19" s="6">
        <f t="shared" si="2"/>
        <v>14</v>
      </c>
      <c r="K19" s="6"/>
    </row>
    <row r="20" spans="2:19" ht="31.5">
      <c r="B20" s="12" t="s">
        <v>129</v>
      </c>
      <c r="C20" s="17">
        <f>AVERAGE(C3:C17)</f>
        <v>395.55555555555554</v>
      </c>
      <c r="D20" s="17">
        <f aca="true" t="shared" si="3" ref="D20:J20">AVERAGE(D3:D17)</f>
        <v>414.07142857142856</v>
      </c>
      <c r="E20" s="17">
        <f>E18/E19</f>
        <v>396.7142857142857</v>
      </c>
      <c r="F20" s="17">
        <f>F18/F19</f>
        <v>412.8181818181818</v>
      </c>
      <c r="G20" s="17">
        <f t="shared" si="3"/>
        <v>404.72727272727275</v>
      </c>
      <c r="H20" s="17">
        <f t="shared" si="3"/>
        <v>415.61538461538464</v>
      </c>
      <c r="I20" s="17">
        <f t="shared" si="3"/>
        <v>449.8</v>
      </c>
      <c r="J20" s="17">
        <f t="shared" si="3"/>
        <v>443.14285714285717</v>
      </c>
      <c r="K20" s="17"/>
      <c r="L20" s="3" t="s">
        <v>30</v>
      </c>
      <c r="M20" s="265" t="s">
        <v>117</v>
      </c>
      <c r="N20" s="265"/>
      <c r="O20" s="3" t="s">
        <v>31</v>
      </c>
      <c r="P20" s="11" t="s">
        <v>118</v>
      </c>
      <c r="R20" s="105" t="s">
        <v>128</v>
      </c>
      <c r="S20" s="105" t="s">
        <v>247</v>
      </c>
    </row>
    <row r="21" spans="12:19" ht="15.75">
      <c r="L21" s="6">
        <f>SUM(L3:L17)</f>
        <v>37602</v>
      </c>
      <c r="M21" s="1">
        <f>SUM(M3:M17)</f>
        <v>53</v>
      </c>
      <c r="N21" s="1">
        <f>SUM(N3:N17)</f>
        <v>67</v>
      </c>
      <c r="O21" s="1">
        <f>SUM(O3:O17)</f>
        <v>-573</v>
      </c>
      <c r="P21" s="1">
        <f>SUM(P3:P17)</f>
        <v>12</v>
      </c>
      <c r="R21" s="2">
        <f>M21-N21</f>
        <v>-14</v>
      </c>
      <c r="S21" s="2">
        <f>SUM(Q18:S18)</f>
        <v>15</v>
      </c>
    </row>
    <row r="23" spans="3:13" ht="15.75">
      <c r="C23" s="270" t="s">
        <v>40</v>
      </c>
      <c r="D23" s="270"/>
      <c r="L23" s="1" t="s">
        <v>130</v>
      </c>
      <c r="M23" s="19">
        <f>L21/S21</f>
        <v>2506.8</v>
      </c>
    </row>
    <row r="24" spans="3:13" ht="15.75">
      <c r="C24" s="268" t="s">
        <v>134</v>
      </c>
      <c r="D24" s="268"/>
      <c r="L24" s="1" t="s">
        <v>260</v>
      </c>
      <c r="M24" s="6">
        <f>L4+L6+L9+L11+L13+L15+L17+L30+L32+L34+L36+L37+L39+L41+L43</f>
        <v>37925</v>
      </c>
    </row>
    <row r="25" spans="3:12" ht="15.75">
      <c r="C25" s="269" t="s">
        <v>135</v>
      </c>
      <c r="D25" s="269"/>
      <c r="I25" s="262" t="s">
        <v>154</v>
      </c>
      <c r="J25" s="262"/>
      <c r="K25" s="12" t="s">
        <v>155</v>
      </c>
      <c r="L25" s="14" t="s">
        <v>128</v>
      </c>
    </row>
    <row r="26" spans="9:12" ht="15.75">
      <c r="I26" s="1">
        <f>M21+M45</f>
        <v>109</v>
      </c>
      <c r="J26" s="1">
        <f>N21+N45</f>
        <v>131</v>
      </c>
      <c r="K26" s="1">
        <f>P21+P45</f>
        <v>24</v>
      </c>
      <c r="L26" s="1">
        <f>I26-J26</f>
        <v>-22</v>
      </c>
    </row>
    <row r="27" spans="1:6" ht="15.75">
      <c r="A27" s="73" t="s">
        <v>144</v>
      </c>
      <c r="B27" s="74"/>
      <c r="C27" s="74" t="s">
        <v>170</v>
      </c>
      <c r="D27" s="74" t="s">
        <v>148</v>
      </c>
      <c r="E27" s="266" t="s">
        <v>143</v>
      </c>
      <c r="F27" s="266"/>
    </row>
    <row r="28" ht="15.75">
      <c r="F28" s="56"/>
    </row>
    <row r="29" spans="2:19" ht="34.5" customHeight="1" thickBot="1">
      <c r="B29" s="3" t="s">
        <v>25</v>
      </c>
      <c r="C29" s="9" t="s">
        <v>171</v>
      </c>
      <c r="D29" s="9" t="s">
        <v>70</v>
      </c>
      <c r="E29" s="9" t="s">
        <v>172</v>
      </c>
      <c r="F29" s="9" t="s">
        <v>173</v>
      </c>
      <c r="G29" s="9" t="s">
        <v>100</v>
      </c>
      <c r="H29" s="9" t="s">
        <v>153</v>
      </c>
      <c r="I29" s="9" t="s">
        <v>210</v>
      </c>
      <c r="J29" s="9" t="s">
        <v>137</v>
      </c>
      <c r="K29" s="9"/>
      <c r="L29" s="12" t="s">
        <v>30</v>
      </c>
      <c r="M29" s="12" t="s">
        <v>215</v>
      </c>
      <c r="N29" s="12" t="s">
        <v>29</v>
      </c>
      <c r="O29" s="12" t="s">
        <v>31</v>
      </c>
      <c r="P29" s="11" t="s">
        <v>116</v>
      </c>
      <c r="Q29" s="2" t="s">
        <v>191</v>
      </c>
      <c r="R29" s="2" t="s">
        <v>192</v>
      </c>
      <c r="S29" s="2" t="s">
        <v>193</v>
      </c>
    </row>
    <row r="30" spans="1:19" s="158" customFormat="1" ht="15.75">
      <c r="A30" s="154" t="s">
        <v>221</v>
      </c>
      <c r="B30" s="154" t="s">
        <v>19</v>
      </c>
      <c r="C30" s="155"/>
      <c r="D30" s="155">
        <v>381</v>
      </c>
      <c r="E30" s="155"/>
      <c r="F30" s="155">
        <v>410</v>
      </c>
      <c r="G30" s="155">
        <v>404</v>
      </c>
      <c r="H30" s="187">
        <v>419</v>
      </c>
      <c r="I30" s="155">
        <v>414</v>
      </c>
      <c r="J30" s="187">
        <v>457</v>
      </c>
      <c r="K30" s="155"/>
      <c r="L30" s="156">
        <f aca="true" t="shared" si="4" ref="L30:L44">SUM(C30:K30)</f>
        <v>2485</v>
      </c>
      <c r="M30" s="154">
        <v>2</v>
      </c>
      <c r="N30" s="154">
        <v>6</v>
      </c>
      <c r="O30" s="154">
        <f>L30-2564</f>
        <v>-79</v>
      </c>
      <c r="P30" s="154">
        <v>0</v>
      </c>
      <c r="S30" s="158">
        <v>1</v>
      </c>
    </row>
    <row r="31" spans="1:17" s="148" customFormat="1" ht="15.75">
      <c r="A31" s="144" t="s">
        <v>222</v>
      </c>
      <c r="B31" s="166" t="s">
        <v>21</v>
      </c>
      <c r="C31" s="166">
        <v>363</v>
      </c>
      <c r="D31" s="166"/>
      <c r="E31" s="166">
        <v>407</v>
      </c>
      <c r="F31" s="185">
        <v>440</v>
      </c>
      <c r="G31" s="155"/>
      <c r="H31" s="185">
        <v>441</v>
      </c>
      <c r="I31" s="185">
        <v>453</v>
      </c>
      <c r="J31" s="185">
        <v>454</v>
      </c>
      <c r="K31" s="145"/>
      <c r="L31" s="146">
        <f t="shared" si="4"/>
        <v>2558</v>
      </c>
      <c r="M31" s="144">
        <v>6</v>
      </c>
      <c r="N31" s="144">
        <v>2</v>
      </c>
      <c r="O31" s="144">
        <v>63</v>
      </c>
      <c r="P31" s="144">
        <v>2</v>
      </c>
      <c r="Q31" s="148">
        <v>1</v>
      </c>
    </row>
    <row r="32" spans="1:19" s="158" customFormat="1" ht="15.75">
      <c r="A32" s="154" t="s">
        <v>156</v>
      </c>
      <c r="B32" s="197" t="s">
        <v>24</v>
      </c>
      <c r="C32" s="155"/>
      <c r="D32" s="155">
        <v>405</v>
      </c>
      <c r="E32" s="155">
        <v>409</v>
      </c>
      <c r="F32" s="155">
        <v>414</v>
      </c>
      <c r="G32" s="155">
        <v>400</v>
      </c>
      <c r="H32" s="187">
        <v>443</v>
      </c>
      <c r="I32" s="187">
        <v>465</v>
      </c>
      <c r="J32" s="155"/>
      <c r="K32" s="155"/>
      <c r="L32" s="156">
        <f t="shared" si="4"/>
        <v>2536</v>
      </c>
      <c r="M32" s="154">
        <v>2</v>
      </c>
      <c r="N32" s="154">
        <v>6</v>
      </c>
      <c r="O32" s="154">
        <f>L32-2584</f>
        <v>-48</v>
      </c>
      <c r="P32" s="154">
        <v>0</v>
      </c>
      <c r="S32" s="158">
        <v>1</v>
      </c>
    </row>
    <row r="33" spans="1:19" s="148" customFormat="1" ht="15.75">
      <c r="A33" s="144" t="s">
        <v>157</v>
      </c>
      <c r="B33" s="144" t="s">
        <v>20</v>
      </c>
      <c r="C33" s="145">
        <v>387</v>
      </c>
      <c r="D33" s="145">
        <v>406</v>
      </c>
      <c r="E33" s="145"/>
      <c r="F33" s="145">
        <v>399</v>
      </c>
      <c r="G33" s="145"/>
      <c r="H33" s="145">
        <v>416</v>
      </c>
      <c r="I33" s="185">
        <v>463</v>
      </c>
      <c r="J33" s="145">
        <v>419</v>
      </c>
      <c r="K33" s="145"/>
      <c r="L33" s="146">
        <f t="shared" si="4"/>
        <v>2490</v>
      </c>
      <c r="M33" s="144">
        <v>1</v>
      </c>
      <c r="N33" s="144">
        <v>7</v>
      </c>
      <c r="O33" s="144">
        <v>-187</v>
      </c>
      <c r="P33" s="144">
        <v>0</v>
      </c>
      <c r="S33" s="148">
        <v>1</v>
      </c>
    </row>
    <row r="34" spans="1:17" s="158" customFormat="1" ht="15.75">
      <c r="A34" s="154" t="s">
        <v>158</v>
      </c>
      <c r="B34" s="154" t="s">
        <v>18</v>
      </c>
      <c r="C34" s="155"/>
      <c r="D34" s="155">
        <v>419</v>
      </c>
      <c r="E34" s="155"/>
      <c r="F34" s="187">
        <v>426</v>
      </c>
      <c r="G34" s="155">
        <v>393</v>
      </c>
      <c r="H34" s="155">
        <v>409</v>
      </c>
      <c r="I34" s="187">
        <v>457</v>
      </c>
      <c r="J34" s="187">
        <v>473</v>
      </c>
      <c r="K34" s="155"/>
      <c r="L34" s="156">
        <f t="shared" si="4"/>
        <v>2577</v>
      </c>
      <c r="M34" s="154">
        <v>5</v>
      </c>
      <c r="N34" s="154">
        <v>3</v>
      </c>
      <c r="O34" s="154">
        <v>131</v>
      </c>
      <c r="P34" s="154">
        <v>2</v>
      </c>
      <c r="Q34" s="158">
        <v>1</v>
      </c>
    </row>
    <row r="35" spans="1:19" s="148" customFormat="1" ht="15.75">
      <c r="A35" s="144" t="s">
        <v>159</v>
      </c>
      <c r="B35" s="144" t="s">
        <v>216</v>
      </c>
      <c r="C35" s="145">
        <v>380</v>
      </c>
      <c r="D35" s="185">
        <v>416</v>
      </c>
      <c r="E35" s="145">
        <v>396</v>
      </c>
      <c r="F35" s="185">
        <v>403</v>
      </c>
      <c r="G35" s="145"/>
      <c r="H35" s="145">
        <v>397</v>
      </c>
      <c r="I35" s="145"/>
      <c r="J35" s="185">
        <v>469</v>
      </c>
      <c r="K35" s="145"/>
      <c r="L35" s="146">
        <f t="shared" si="4"/>
        <v>2461</v>
      </c>
      <c r="M35" s="144">
        <v>3</v>
      </c>
      <c r="N35" s="144">
        <v>5</v>
      </c>
      <c r="O35" s="144">
        <v>-79</v>
      </c>
      <c r="P35" s="144">
        <v>0</v>
      </c>
      <c r="S35" s="148">
        <v>1</v>
      </c>
    </row>
    <row r="36" spans="1:19" s="158" customFormat="1" ht="15.75">
      <c r="A36" s="154" t="s">
        <v>160</v>
      </c>
      <c r="B36" s="154" t="s">
        <v>26</v>
      </c>
      <c r="C36" s="155"/>
      <c r="D36" s="187">
        <v>452</v>
      </c>
      <c r="E36" s="155">
        <v>440</v>
      </c>
      <c r="F36" s="187">
        <v>460</v>
      </c>
      <c r="G36" s="155"/>
      <c r="H36" s="155">
        <v>392</v>
      </c>
      <c r="I36" s="187">
        <v>445</v>
      </c>
      <c r="J36" s="155">
        <v>397</v>
      </c>
      <c r="K36" s="155"/>
      <c r="L36" s="156">
        <f t="shared" si="4"/>
        <v>2586</v>
      </c>
      <c r="M36" s="154">
        <v>3</v>
      </c>
      <c r="N36" s="154">
        <v>5</v>
      </c>
      <c r="O36" s="154">
        <f>L36-2653</f>
        <v>-67</v>
      </c>
      <c r="P36" s="154">
        <v>0</v>
      </c>
      <c r="S36" s="158">
        <v>1</v>
      </c>
    </row>
    <row r="37" spans="1:17" s="158" customFormat="1" ht="15.75">
      <c r="A37" s="154" t="s">
        <v>161</v>
      </c>
      <c r="B37" s="154" t="s">
        <v>22</v>
      </c>
      <c r="C37" s="155"/>
      <c r="D37" s="187">
        <v>438</v>
      </c>
      <c r="E37" s="155">
        <v>375</v>
      </c>
      <c r="F37" s="187">
        <v>424</v>
      </c>
      <c r="G37" s="187">
        <v>448</v>
      </c>
      <c r="H37" s="155"/>
      <c r="I37" s="187">
        <v>432</v>
      </c>
      <c r="J37" s="187">
        <v>472</v>
      </c>
      <c r="K37" s="155"/>
      <c r="L37" s="156">
        <f t="shared" si="4"/>
        <v>2589</v>
      </c>
      <c r="M37" s="154">
        <v>7</v>
      </c>
      <c r="N37" s="154">
        <v>1</v>
      </c>
      <c r="O37" s="154">
        <v>206</v>
      </c>
      <c r="P37" s="154">
        <v>2</v>
      </c>
      <c r="Q37" s="158">
        <v>1</v>
      </c>
    </row>
    <row r="38" spans="1:19" s="148" customFormat="1" ht="15.75">
      <c r="A38" s="144" t="s">
        <v>162</v>
      </c>
      <c r="B38" s="144" t="s">
        <v>15</v>
      </c>
      <c r="C38" s="187">
        <v>437</v>
      </c>
      <c r="D38" s="145">
        <v>399</v>
      </c>
      <c r="E38" s="145"/>
      <c r="F38" s="187">
        <v>453</v>
      </c>
      <c r="G38" s="145"/>
      <c r="H38" s="187">
        <v>445</v>
      </c>
      <c r="I38" s="145">
        <v>394</v>
      </c>
      <c r="J38" s="145">
        <v>420</v>
      </c>
      <c r="K38" s="145"/>
      <c r="L38" s="146">
        <f t="shared" si="4"/>
        <v>2548</v>
      </c>
      <c r="M38" s="144">
        <v>3</v>
      </c>
      <c r="N38" s="144">
        <v>5</v>
      </c>
      <c r="O38" s="144">
        <v>-53</v>
      </c>
      <c r="P38" s="144">
        <v>0</v>
      </c>
      <c r="S38" s="148">
        <v>1</v>
      </c>
    </row>
    <row r="39" spans="1:19" s="158" customFormat="1" ht="15.75">
      <c r="A39" s="154" t="s">
        <v>163</v>
      </c>
      <c r="B39" s="154" t="s">
        <v>17</v>
      </c>
      <c r="C39" s="155">
        <v>392</v>
      </c>
      <c r="D39" s="155"/>
      <c r="E39" s="155"/>
      <c r="F39" s="155">
        <v>411</v>
      </c>
      <c r="G39" s="155">
        <v>417</v>
      </c>
      <c r="H39" s="155">
        <v>435</v>
      </c>
      <c r="I39" s="187">
        <v>439</v>
      </c>
      <c r="J39" s="187">
        <v>447</v>
      </c>
      <c r="K39" s="155"/>
      <c r="L39" s="156">
        <f t="shared" si="4"/>
        <v>2541</v>
      </c>
      <c r="M39" s="154">
        <v>2</v>
      </c>
      <c r="N39" s="154">
        <v>6</v>
      </c>
      <c r="O39" s="154">
        <v>-56</v>
      </c>
      <c r="P39" s="154">
        <v>0</v>
      </c>
      <c r="S39" s="158">
        <v>1</v>
      </c>
    </row>
    <row r="40" spans="1:17" s="148" customFormat="1" ht="15.75">
      <c r="A40" s="144" t="s">
        <v>164</v>
      </c>
      <c r="B40" s="144" t="s">
        <v>218</v>
      </c>
      <c r="C40" s="145">
        <v>391</v>
      </c>
      <c r="D40" s="223">
        <v>424</v>
      </c>
      <c r="E40" s="145">
        <v>420</v>
      </c>
      <c r="F40" s="223">
        <v>477</v>
      </c>
      <c r="G40" s="145"/>
      <c r="H40" s="223">
        <v>421</v>
      </c>
      <c r="I40" s="144"/>
      <c r="J40" s="223">
        <v>421</v>
      </c>
      <c r="K40" s="144"/>
      <c r="L40" s="146">
        <f t="shared" si="4"/>
        <v>2554</v>
      </c>
      <c r="M40" s="144">
        <v>6</v>
      </c>
      <c r="N40" s="144">
        <v>2</v>
      </c>
      <c r="O40" s="144">
        <v>114</v>
      </c>
      <c r="P40" s="144">
        <v>2</v>
      </c>
      <c r="Q40" s="148">
        <v>1</v>
      </c>
    </row>
    <row r="41" spans="1:19" s="158" customFormat="1" ht="15.75">
      <c r="A41" s="154" t="s">
        <v>165</v>
      </c>
      <c r="B41" s="154" t="s">
        <v>23</v>
      </c>
      <c r="C41" s="155"/>
      <c r="D41" s="155">
        <v>405</v>
      </c>
      <c r="E41" s="155"/>
      <c r="F41" s="155">
        <v>399</v>
      </c>
      <c r="G41" s="155">
        <v>408</v>
      </c>
      <c r="H41" s="155">
        <v>425</v>
      </c>
      <c r="I41" s="222">
        <v>478</v>
      </c>
      <c r="J41" s="222">
        <v>455</v>
      </c>
      <c r="K41" s="154"/>
      <c r="L41" s="156">
        <f t="shared" si="4"/>
        <v>2570</v>
      </c>
      <c r="M41" s="154">
        <v>2</v>
      </c>
      <c r="N41" s="154">
        <v>6</v>
      </c>
      <c r="O41" s="154">
        <v>-82</v>
      </c>
      <c r="P41" s="154">
        <v>0</v>
      </c>
      <c r="S41" s="158">
        <v>1</v>
      </c>
    </row>
    <row r="42" spans="1:19" s="148" customFormat="1" ht="15.75">
      <c r="A42" s="144" t="s">
        <v>166</v>
      </c>
      <c r="B42" s="144" t="s">
        <v>217</v>
      </c>
      <c r="C42" s="145"/>
      <c r="D42" s="223">
        <v>420</v>
      </c>
      <c r="E42" s="145">
        <v>393</v>
      </c>
      <c r="F42" s="145"/>
      <c r="G42" s="145">
        <v>416</v>
      </c>
      <c r="H42" s="145">
        <v>401</v>
      </c>
      <c r="I42" s="223">
        <v>428</v>
      </c>
      <c r="J42" s="223">
        <v>430</v>
      </c>
      <c r="K42" s="144"/>
      <c r="L42" s="146">
        <f t="shared" si="4"/>
        <v>2488</v>
      </c>
      <c r="M42" s="144">
        <v>3</v>
      </c>
      <c r="N42" s="144">
        <v>5</v>
      </c>
      <c r="O42" s="144">
        <f>L42-2577</f>
        <v>-89</v>
      </c>
      <c r="P42" s="144">
        <v>0</v>
      </c>
      <c r="S42" s="148">
        <v>1</v>
      </c>
    </row>
    <row r="43" spans="1:17" s="158" customFormat="1" ht="15.75">
      <c r="A43" s="154" t="s">
        <v>167</v>
      </c>
      <c r="B43" s="154" t="s">
        <v>204</v>
      </c>
      <c r="C43" s="155">
        <v>394</v>
      </c>
      <c r="D43" s="155">
        <v>376</v>
      </c>
      <c r="E43" s="155"/>
      <c r="F43" s="222">
        <v>434</v>
      </c>
      <c r="G43" s="155"/>
      <c r="H43" s="222">
        <v>433</v>
      </c>
      <c r="I43" s="154">
        <v>424</v>
      </c>
      <c r="J43" s="222">
        <v>456</v>
      </c>
      <c r="K43" s="154"/>
      <c r="L43" s="156">
        <f t="shared" si="4"/>
        <v>2517</v>
      </c>
      <c r="M43" s="154">
        <v>5</v>
      </c>
      <c r="N43" s="154">
        <v>3</v>
      </c>
      <c r="O43" s="154">
        <v>29</v>
      </c>
      <c r="P43" s="154">
        <v>2</v>
      </c>
      <c r="Q43" s="158">
        <v>1</v>
      </c>
    </row>
    <row r="44" spans="1:19" s="148" customFormat="1" ht="16.5" thickBot="1">
      <c r="A44" s="144" t="s">
        <v>168</v>
      </c>
      <c r="B44" s="144" t="s">
        <v>214</v>
      </c>
      <c r="C44" s="150"/>
      <c r="D44" s="150"/>
      <c r="E44" s="150">
        <v>392</v>
      </c>
      <c r="F44" s="235">
        <v>424</v>
      </c>
      <c r="G44" s="150">
        <v>400</v>
      </c>
      <c r="H44" s="235">
        <v>433</v>
      </c>
      <c r="I44" s="235">
        <v>463</v>
      </c>
      <c r="J44" s="235">
        <v>457</v>
      </c>
      <c r="K44" s="151"/>
      <c r="L44" s="152">
        <f t="shared" si="4"/>
        <v>2569</v>
      </c>
      <c r="M44" s="151">
        <v>6</v>
      </c>
      <c r="N44" s="151">
        <v>2</v>
      </c>
      <c r="O44" s="151">
        <v>117</v>
      </c>
      <c r="P44" s="151">
        <v>2</v>
      </c>
      <c r="Q44" s="180">
        <v>1</v>
      </c>
      <c r="R44" s="180"/>
      <c r="S44" s="180"/>
    </row>
    <row r="45" spans="3:19" ht="16.5" thickTop="1">
      <c r="C45" s="7">
        <f aca="true" t="shared" si="5" ref="C45:K45">SUM(C30:C44)</f>
        <v>2744</v>
      </c>
      <c r="D45" s="7">
        <f t="shared" si="5"/>
        <v>4941</v>
      </c>
      <c r="E45" s="7">
        <f t="shared" si="5"/>
        <v>3232</v>
      </c>
      <c r="F45" s="7">
        <f t="shared" si="5"/>
        <v>5974</v>
      </c>
      <c r="G45" s="7">
        <f t="shared" si="5"/>
        <v>3286</v>
      </c>
      <c r="H45" s="7">
        <f t="shared" si="5"/>
        <v>5910</v>
      </c>
      <c r="I45" s="7">
        <f t="shared" si="5"/>
        <v>5755</v>
      </c>
      <c r="J45" s="7">
        <f t="shared" si="5"/>
        <v>6227</v>
      </c>
      <c r="K45" s="7">
        <f t="shared" si="5"/>
        <v>0</v>
      </c>
      <c r="M45" s="1">
        <f>SUM(M30:M44)</f>
        <v>56</v>
      </c>
      <c r="N45" s="1">
        <f>SUM(N30:N44)</f>
        <v>64</v>
      </c>
      <c r="O45" s="1">
        <f>SUM(O30:O44)</f>
        <v>-80</v>
      </c>
      <c r="P45" s="1">
        <f>SUM(P30:P44)</f>
        <v>12</v>
      </c>
      <c r="Q45" s="1">
        <f>SUM(Q30:Q44)+Q18</f>
        <v>12</v>
      </c>
      <c r="R45" s="1">
        <f>SUM(R30:R44)+R18</f>
        <v>0</v>
      </c>
      <c r="S45" s="1">
        <f>SUM(S30:S44)+S18</f>
        <v>18</v>
      </c>
    </row>
    <row r="46" spans="2:11" ht="31.5">
      <c r="B46" s="83" t="s">
        <v>279</v>
      </c>
      <c r="C46" s="1">
        <f aca="true" t="shared" si="6" ref="C46:K46">COUNT(C30:C44)</f>
        <v>7</v>
      </c>
      <c r="D46" s="1">
        <f t="shared" si="6"/>
        <v>12</v>
      </c>
      <c r="E46" s="1">
        <f t="shared" si="6"/>
        <v>8</v>
      </c>
      <c r="F46" s="1">
        <f t="shared" si="6"/>
        <v>14</v>
      </c>
      <c r="G46" s="1">
        <f t="shared" si="6"/>
        <v>8</v>
      </c>
      <c r="H46" s="1">
        <f t="shared" si="6"/>
        <v>14</v>
      </c>
      <c r="I46" s="1">
        <f t="shared" si="6"/>
        <v>13</v>
      </c>
      <c r="J46" s="1">
        <f t="shared" si="6"/>
        <v>14</v>
      </c>
      <c r="K46" s="1">
        <f t="shared" si="6"/>
        <v>0</v>
      </c>
    </row>
    <row r="47" spans="2:19" ht="31.5">
      <c r="B47" s="12" t="s">
        <v>275</v>
      </c>
      <c r="C47" s="17">
        <f aca="true" t="shared" si="7" ref="C47:J47">C45/C46</f>
        <v>392</v>
      </c>
      <c r="D47" s="17">
        <f t="shared" si="7"/>
        <v>411.75</v>
      </c>
      <c r="E47" s="17">
        <f t="shared" si="7"/>
        <v>404</v>
      </c>
      <c r="F47" s="17">
        <f t="shared" si="7"/>
        <v>426.7142857142857</v>
      </c>
      <c r="G47" s="17">
        <f t="shared" si="7"/>
        <v>410.75</v>
      </c>
      <c r="H47" s="17">
        <f t="shared" si="7"/>
        <v>422.14285714285717</v>
      </c>
      <c r="I47" s="17">
        <f t="shared" si="7"/>
        <v>442.6923076923077</v>
      </c>
      <c r="J47" s="17">
        <f t="shared" si="7"/>
        <v>444.7857142857143</v>
      </c>
      <c r="K47" s="17"/>
      <c r="L47" s="3" t="s">
        <v>30</v>
      </c>
      <c r="M47" s="265" t="s">
        <v>117</v>
      </c>
      <c r="N47" s="265"/>
      <c r="O47" s="3" t="s">
        <v>31</v>
      </c>
      <c r="P47" s="11" t="s">
        <v>118</v>
      </c>
      <c r="R47" s="105" t="s">
        <v>128</v>
      </c>
      <c r="S47" s="105" t="s">
        <v>247</v>
      </c>
    </row>
    <row r="48" spans="12:19" ht="15.75">
      <c r="L48" s="6">
        <f>SUM(L30:L44)+L21</f>
        <v>75671</v>
      </c>
      <c r="M48" s="6">
        <f>SUM(M30:M44)+M21</f>
        <v>109</v>
      </c>
      <c r="N48" s="6">
        <f>SUM(N30:N44)+N21</f>
        <v>131</v>
      </c>
      <c r="O48" s="6">
        <f>SUM(O30:O44)+O21</f>
        <v>-653</v>
      </c>
      <c r="P48" s="6">
        <f>SUM(P30:P44)+P21</f>
        <v>24</v>
      </c>
      <c r="R48" s="71">
        <f>M48-N48</f>
        <v>-22</v>
      </c>
      <c r="S48" s="2">
        <f>SUM(Q45:S45)</f>
        <v>30</v>
      </c>
    </row>
    <row r="50" spans="12:13" ht="15.75">
      <c r="L50" s="1" t="s">
        <v>130</v>
      </c>
      <c r="M50" s="19">
        <f>L48/S48</f>
        <v>2522.366666666667</v>
      </c>
    </row>
  </sheetData>
  <sheetProtection/>
  <mergeCells count="9">
    <mergeCell ref="M47:N47"/>
    <mergeCell ref="E27:F27"/>
    <mergeCell ref="M1:N1"/>
    <mergeCell ref="C23:D23"/>
    <mergeCell ref="M20:N20"/>
    <mergeCell ref="I25:J25"/>
    <mergeCell ref="C24:D24"/>
    <mergeCell ref="C25:D25"/>
    <mergeCell ref="C1:K1"/>
  </mergeCells>
  <printOptions/>
  <pageMargins left="0.75" right="0.75" top="1" bottom="1" header="0.5" footer="0.5"/>
  <pageSetup horizontalDpi="600" verticalDpi="600" orientation="portrait" paperSize="9" r:id="rId1"/>
  <ignoredErrors>
    <ignoredError sqref="E20" formula="1"/>
    <ignoredError sqref="E18" formula="1" formulaRange="1"/>
    <ignoredError sqref="F1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V50"/>
  <sheetViews>
    <sheetView zoomScale="90" zoomScaleNormal="90" zoomScalePageLayoutView="0" workbookViewId="0" topLeftCell="B19">
      <selection activeCell="E44" sqref="E44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3" width="16.625" style="1" bestFit="1" customWidth="1"/>
    <col min="4" max="4" width="9.25390625" style="1" bestFit="1" customWidth="1"/>
    <col min="5" max="5" width="13.75390625" style="1" customWidth="1"/>
    <col min="6" max="6" width="11.125" style="1" customWidth="1"/>
    <col min="7" max="7" width="9.25390625" style="1" customWidth="1"/>
    <col min="8" max="9" width="9.25390625" style="1" bestFit="1" customWidth="1"/>
    <col min="10" max="10" width="12.00390625" style="1" customWidth="1"/>
    <col min="11" max="11" width="10.625" style="1" bestFit="1" customWidth="1"/>
    <col min="12" max="12" width="9.25390625" style="1" bestFit="1" customWidth="1"/>
    <col min="13" max="13" width="9.25390625" style="1" customWidth="1"/>
    <col min="14" max="14" width="11.375" style="1" customWidth="1"/>
    <col min="15" max="15" width="18.25390625" style="1" bestFit="1" customWidth="1"/>
    <col min="16" max="16" width="11.25390625" style="1" customWidth="1"/>
    <col min="17" max="17" width="10.375" style="1" customWidth="1"/>
    <col min="18" max="18" width="13.375" style="1" customWidth="1"/>
    <col min="19" max="19" width="11.00390625" style="1" customWidth="1"/>
    <col min="21" max="21" width="11.125" style="0" customWidth="1"/>
    <col min="22" max="22" width="11.25390625" style="0" customWidth="1"/>
  </cols>
  <sheetData>
    <row r="1" spans="3:22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P1" s="265" t="s">
        <v>28</v>
      </c>
      <c r="Q1" s="265"/>
      <c r="T1" s="2"/>
      <c r="U1" s="2"/>
      <c r="V1" s="2"/>
    </row>
    <row r="2" spans="2:22" ht="37.5" customHeight="1" thickBot="1">
      <c r="B2" s="3" t="s">
        <v>25</v>
      </c>
      <c r="C2" s="9" t="s">
        <v>179</v>
      </c>
      <c r="D2" s="9" t="s">
        <v>180</v>
      </c>
      <c r="E2" s="9" t="s">
        <v>36</v>
      </c>
      <c r="F2" s="9" t="s">
        <v>33</v>
      </c>
      <c r="G2" s="9" t="s">
        <v>181</v>
      </c>
      <c r="H2" s="9" t="s">
        <v>182</v>
      </c>
      <c r="I2" s="9" t="s">
        <v>183</v>
      </c>
      <c r="J2" s="9" t="s">
        <v>184</v>
      </c>
      <c r="K2" s="9" t="s">
        <v>185</v>
      </c>
      <c r="L2" s="9" t="s">
        <v>151</v>
      </c>
      <c r="M2" s="9" t="s">
        <v>197</v>
      </c>
      <c r="N2" s="9" t="s">
        <v>32</v>
      </c>
      <c r="O2" s="12" t="s">
        <v>30</v>
      </c>
      <c r="P2" s="12" t="s">
        <v>169</v>
      </c>
      <c r="Q2" s="12" t="s">
        <v>29</v>
      </c>
      <c r="R2" s="12" t="s">
        <v>31</v>
      </c>
      <c r="S2" s="11" t="s">
        <v>116</v>
      </c>
      <c r="T2" s="2" t="s">
        <v>191</v>
      </c>
      <c r="U2" s="2" t="s">
        <v>192</v>
      </c>
      <c r="V2" s="2" t="s">
        <v>193</v>
      </c>
    </row>
    <row r="3" spans="1:22" s="34" customFormat="1" ht="15.75">
      <c r="A3" s="29" t="s">
        <v>0</v>
      </c>
      <c r="B3" s="29" t="s">
        <v>18</v>
      </c>
      <c r="C3" s="48"/>
      <c r="D3" s="93">
        <v>420</v>
      </c>
      <c r="E3" s="48"/>
      <c r="F3" s="48"/>
      <c r="G3" s="48"/>
      <c r="H3" s="48"/>
      <c r="I3" s="93">
        <v>449</v>
      </c>
      <c r="J3" s="48">
        <v>368</v>
      </c>
      <c r="K3" s="48"/>
      <c r="L3" s="48">
        <v>385</v>
      </c>
      <c r="M3" s="48">
        <v>371</v>
      </c>
      <c r="N3" s="96">
        <v>440</v>
      </c>
      <c r="O3" s="32">
        <f aca="true" t="shared" si="0" ref="O3:O17">SUM(C3:N3)</f>
        <v>2433</v>
      </c>
      <c r="P3" s="29">
        <v>3</v>
      </c>
      <c r="Q3" s="29">
        <v>5</v>
      </c>
      <c r="R3" s="29">
        <v>-116</v>
      </c>
      <c r="S3" s="29">
        <v>0</v>
      </c>
      <c r="T3" s="33"/>
      <c r="U3" s="33"/>
      <c r="V3" s="33">
        <v>1</v>
      </c>
    </row>
    <row r="4" spans="1:22" s="25" customFormat="1" ht="15.75">
      <c r="A4" s="20" t="s">
        <v>1</v>
      </c>
      <c r="B4" s="20" t="s">
        <v>20</v>
      </c>
      <c r="C4" s="47">
        <v>356</v>
      </c>
      <c r="D4" s="47">
        <v>375</v>
      </c>
      <c r="E4" s="47"/>
      <c r="F4" s="92">
        <v>418</v>
      </c>
      <c r="G4" s="92">
        <v>429</v>
      </c>
      <c r="H4" s="47">
        <v>368</v>
      </c>
      <c r="I4" s="47"/>
      <c r="J4" s="47"/>
      <c r="K4" s="47">
        <v>404</v>
      </c>
      <c r="L4" s="47"/>
      <c r="M4" s="47"/>
      <c r="N4" s="39"/>
      <c r="O4" s="23">
        <f t="shared" si="0"/>
        <v>2350</v>
      </c>
      <c r="P4" s="20">
        <v>2</v>
      </c>
      <c r="Q4" s="20">
        <v>6</v>
      </c>
      <c r="R4" s="20">
        <v>-118</v>
      </c>
      <c r="S4" s="20">
        <v>0</v>
      </c>
      <c r="T4" s="24"/>
      <c r="U4" s="24"/>
      <c r="V4" s="24">
        <v>1</v>
      </c>
    </row>
    <row r="5" spans="1:22" s="34" customFormat="1" ht="15.75">
      <c r="A5" s="29" t="s">
        <v>2</v>
      </c>
      <c r="B5" s="29" t="s">
        <v>24</v>
      </c>
      <c r="C5" s="48"/>
      <c r="D5" s="93">
        <v>441</v>
      </c>
      <c r="E5" s="93">
        <v>500</v>
      </c>
      <c r="F5" s="93">
        <v>438</v>
      </c>
      <c r="G5" s="48"/>
      <c r="H5" s="48"/>
      <c r="I5" s="48">
        <v>375</v>
      </c>
      <c r="J5" s="48"/>
      <c r="K5" s="48"/>
      <c r="L5" s="48"/>
      <c r="M5" s="93">
        <v>439</v>
      </c>
      <c r="N5" s="44">
        <v>423</v>
      </c>
      <c r="O5" s="32">
        <f t="shared" si="0"/>
        <v>2616</v>
      </c>
      <c r="P5" s="29">
        <v>6</v>
      </c>
      <c r="Q5" s="29">
        <v>2</v>
      </c>
      <c r="R5" s="29">
        <v>23</v>
      </c>
      <c r="S5" s="29">
        <v>2</v>
      </c>
      <c r="T5" s="33">
        <v>1</v>
      </c>
      <c r="U5" s="33"/>
      <c r="V5" s="33"/>
    </row>
    <row r="6" spans="1:22" s="25" customFormat="1" ht="15.75">
      <c r="A6" s="20" t="s">
        <v>3</v>
      </c>
      <c r="B6" s="20" t="s">
        <v>21</v>
      </c>
      <c r="C6" s="47"/>
      <c r="D6" s="47"/>
      <c r="E6" s="92">
        <v>427</v>
      </c>
      <c r="F6" s="92">
        <v>424</v>
      </c>
      <c r="G6" s="92">
        <v>417</v>
      </c>
      <c r="H6" s="47">
        <v>386</v>
      </c>
      <c r="I6" s="47"/>
      <c r="J6" s="47">
        <v>387</v>
      </c>
      <c r="K6" s="47">
        <v>390</v>
      </c>
      <c r="L6" s="47"/>
      <c r="M6" s="47"/>
      <c r="N6" s="39"/>
      <c r="O6" s="23">
        <f t="shared" si="0"/>
        <v>2431</v>
      </c>
      <c r="P6" s="20">
        <v>3</v>
      </c>
      <c r="Q6" s="20">
        <v>5</v>
      </c>
      <c r="R6" s="20">
        <v>-55</v>
      </c>
      <c r="S6" s="20">
        <v>0</v>
      </c>
      <c r="T6" s="24"/>
      <c r="U6" s="24"/>
      <c r="V6" s="24">
        <v>1</v>
      </c>
    </row>
    <row r="7" spans="1:22" s="34" customFormat="1" ht="15.75">
      <c r="A7" s="29" t="s">
        <v>4</v>
      </c>
      <c r="B7" s="29" t="s">
        <v>19</v>
      </c>
      <c r="C7" s="97">
        <v>179</v>
      </c>
      <c r="D7" s="52">
        <v>405</v>
      </c>
      <c r="E7" s="97">
        <v>432</v>
      </c>
      <c r="F7" s="52">
        <v>381</v>
      </c>
      <c r="G7" s="52"/>
      <c r="H7" s="48"/>
      <c r="I7" s="48">
        <v>375</v>
      </c>
      <c r="J7" s="52">
        <v>400</v>
      </c>
      <c r="K7" s="52"/>
      <c r="L7" s="52"/>
      <c r="M7" s="52"/>
      <c r="N7" s="96">
        <v>236</v>
      </c>
      <c r="O7" s="32">
        <f t="shared" si="0"/>
        <v>2408</v>
      </c>
      <c r="P7" s="29">
        <v>2</v>
      </c>
      <c r="Q7" s="29">
        <v>6</v>
      </c>
      <c r="R7" s="29">
        <v>-96</v>
      </c>
      <c r="S7" s="29">
        <v>0</v>
      </c>
      <c r="T7" s="33"/>
      <c r="U7" s="33"/>
      <c r="V7" s="33">
        <v>1</v>
      </c>
    </row>
    <row r="8" spans="1:22" s="25" customFormat="1" ht="15.75">
      <c r="A8" s="20" t="s">
        <v>5</v>
      </c>
      <c r="B8" s="20" t="s">
        <v>214</v>
      </c>
      <c r="C8" s="47"/>
      <c r="D8" s="47"/>
      <c r="E8" s="92">
        <v>408</v>
      </c>
      <c r="F8" s="92">
        <v>429</v>
      </c>
      <c r="G8" s="47">
        <v>394</v>
      </c>
      <c r="H8" s="47"/>
      <c r="I8" s="47"/>
      <c r="J8" s="47"/>
      <c r="K8" s="47">
        <v>408</v>
      </c>
      <c r="L8" s="47"/>
      <c r="M8" s="92">
        <v>452</v>
      </c>
      <c r="N8" s="102">
        <v>446</v>
      </c>
      <c r="O8" s="23">
        <f t="shared" si="0"/>
        <v>2537</v>
      </c>
      <c r="P8" s="20">
        <v>6</v>
      </c>
      <c r="Q8" s="20">
        <v>2</v>
      </c>
      <c r="R8" s="20">
        <v>103</v>
      </c>
      <c r="S8" s="20">
        <v>2</v>
      </c>
      <c r="T8" s="24">
        <v>1</v>
      </c>
      <c r="U8" s="24"/>
      <c r="V8" s="24"/>
    </row>
    <row r="9" spans="1:22" s="34" customFormat="1" ht="15.75">
      <c r="A9" s="29" t="s">
        <v>6</v>
      </c>
      <c r="B9" s="29" t="s">
        <v>26</v>
      </c>
      <c r="C9" s="48">
        <v>427</v>
      </c>
      <c r="D9" s="48">
        <v>392</v>
      </c>
      <c r="E9" s="93">
        <v>451</v>
      </c>
      <c r="F9" s="48"/>
      <c r="G9" s="48"/>
      <c r="H9" s="48"/>
      <c r="I9" s="93">
        <v>435</v>
      </c>
      <c r="J9" s="48">
        <v>379</v>
      </c>
      <c r="K9" s="48"/>
      <c r="L9" s="48"/>
      <c r="M9" s="48">
        <v>376</v>
      </c>
      <c r="N9" s="44"/>
      <c r="O9" s="32">
        <f t="shared" si="0"/>
        <v>2460</v>
      </c>
      <c r="P9" s="29">
        <v>2</v>
      </c>
      <c r="Q9" s="29">
        <v>6</v>
      </c>
      <c r="R9" s="29">
        <v>-162</v>
      </c>
      <c r="S9" s="29">
        <v>0</v>
      </c>
      <c r="T9" s="33"/>
      <c r="U9" s="33"/>
      <c r="V9" s="33">
        <v>1</v>
      </c>
    </row>
    <row r="10" spans="1:22" s="34" customFormat="1" ht="15.75">
      <c r="A10" s="29" t="s">
        <v>7</v>
      </c>
      <c r="B10" s="35" t="s">
        <v>217</v>
      </c>
      <c r="C10" s="48"/>
      <c r="D10" s="93">
        <v>443</v>
      </c>
      <c r="E10" s="93">
        <v>431</v>
      </c>
      <c r="F10" s="48">
        <v>406</v>
      </c>
      <c r="G10" s="48"/>
      <c r="H10" s="48"/>
      <c r="I10" s="48">
        <v>427</v>
      </c>
      <c r="J10" s="48"/>
      <c r="K10" s="48">
        <v>378</v>
      </c>
      <c r="L10" s="48"/>
      <c r="M10" s="48"/>
      <c r="N10" s="96">
        <v>444</v>
      </c>
      <c r="O10" s="32">
        <f t="shared" si="0"/>
        <v>2529</v>
      </c>
      <c r="P10" s="29">
        <v>3</v>
      </c>
      <c r="Q10" s="29">
        <v>5</v>
      </c>
      <c r="R10" s="29">
        <v>-30</v>
      </c>
      <c r="S10" s="29">
        <v>0</v>
      </c>
      <c r="T10" s="33"/>
      <c r="U10" s="33"/>
      <c r="V10" s="33">
        <v>1</v>
      </c>
    </row>
    <row r="11" spans="1:22" s="25" customFormat="1" ht="15.75">
      <c r="A11" s="20" t="s">
        <v>8</v>
      </c>
      <c r="B11" s="20" t="s">
        <v>23</v>
      </c>
      <c r="C11" s="47"/>
      <c r="D11" s="47"/>
      <c r="E11" s="47">
        <v>422</v>
      </c>
      <c r="F11" s="47">
        <v>413</v>
      </c>
      <c r="G11" s="92">
        <v>425</v>
      </c>
      <c r="H11" s="47"/>
      <c r="I11" s="47">
        <v>414</v>
      </c>
      <c r="J11" s="47">
        <v>337</v>
      </c>
      <c r="K11" s="47"/>
      <c r="L11" s="47">
        <v>198</v>
      </c>
      <c r="M11" s="47"/>
      <c r="N11" s="39">
        <v>214</v>
      </c>
      <c r="O11" s="23">
        <f t="shared" si="0"/>
        <v>2423</v>
      </c>
      <c r="P11" s="20">
        <v>1</v>
      </c>
      <c r="Q11" s="20">
        <v>7</v>
      </c>
      <c r="R11" s="23">
        <v>-188</v>
      </c>
      <c r="S11" s="20">
        <v>0</v>
      </c>
      <c r="T11" s="24"/>
      <c r="U11" s="24"/>
      <c r="V11" s="24">
        <v>1</v>
      </c>
    </row>
    <row r="12" spans="1:22" s="34" customFormat="1" ht="15.75">
      <c r="A12" s="29" t="s">
        <v>9</v>
      </c>
      <c r="B12" s="29" t="s">
        <v>218</v>
      </c>
      <c r="C12" s="48">
        <v>183</v>
      </c>
      <c r="D12" s="93">
        <v>389</v>
      </c>
      <c r="E12" s="93">
        <v>423</v>
      </c>
      <c r="F12" s="48"/>
      <c r="G12" s="48"/>
      <c r="H12" s="48"/>
      <c r="I12" s="93">
        <v>385</v>
      </c>
      <c r="J12" s="48"/>
      <c r="K12" s="48"/>
      <c r="L12" s="48">
        <v>192</v>
      </c>
      <c r="M12" s="48">
        <v>352</v>
      </c>
      <c r="N12" s="44">
        <v>372</v>
      </c>
      <c r="O12" s="32">
        <f t="shared" si="0"/>
        <v>2296</v>
      </c>
      <c r="P12" s="29">
        <v>5</v>
      </c>
      <c r="Q12" s="29">
        <v>3</v>
      </c>
      <c r="R12" s="32">
        <v>39</v>
      </c>
      <c r="S12" s="29">
        <v>2</v>
      </c>
      <c r="T12" s="33">
        <v>1</v>
      </c>
      <c r="U12" s="33"/>
      <c r="V12" s="33"/>
    </row>
    <row r="13" spans="1:22" s="25" customFormat="1" ht="15.75">
      <c r="A13" s="20" t="s">
        <v>10</v>
      </c>
      <c r="B13" s="20" t="s">
        <v>17</v>
      </c>
      <c r="C13" s="47">
        <v>381</v>
      </c>
      <c r="D13" s="47">
        <v>388</v>
      </c>
      <c r="E13" s="47"/>
      <c r="F13" s="47"/>
      <c r="G13" s="92">
        <v>416</v>
      </c>
      <c r="H13" s="47"/>
      <c r="I13" s="47">
        <v>397</v>
      </c>
      <c r="J13" s="47">
        <v>351</v>
      </c>
      <c r="K13" s="47"/>
      <c r="L13" s="47">
        <v>385</v>
      </c>
      <c r="M13" s="47"/>
      <c r="N13" s="39"/>
      <c r="O13" s="23">
        <f t="shared" si="0"/>
        <v>2318</v>
      </c>
      <c r="P13" s="20">
        <v>1</v>
      </c>
      <c r="Q13" s="20">
        <v>7</v>
      </c>
      <c r="R13" s="20">
        <v>-197</v>
      </c>
      <c r="S13" s="20">
        <v>0</v>
      </c>
      <c r="T13" s="24"/>
      <c r="U13" s="24"/>
      <c r="V13" s="24">
        <v>1</v>
      </c>
    </row>
    <row r="14" spans="1:22" s="34" customFormat="1" ht="15.75">
      <c r="A14" s="29" t="s">
        <v>11</v>
      </c>
      <c r="B14" s="29" t="s">
        <v>15</v>
      </c>
      <c r="C14" s="48">
        <v>407</v>
      </c>
      <c r="D14" s="48"/>
      <c r="E14" s="93">
        <v>465</v>
      </c>
      <c r="F14" s="48"/>
      <c r="G14" s="48"/>
      <c r="H14" s="48"/>
      <c r="I14" s="48">
        <v>417</v>
      </c>
      <c r="J14" s="48"/>
      <c r="K14" s="48"/>
      <c r="L14" s="48">
        <v>416</v>
      </c>
      <c r="M14" s="48">
        <v>390</v>
      </c>
      <c r="N14" s="96">
        <v>448</v>
      </c>
      <c r="O14" s="32">
        <f t="shared" si="0"/>
        <v>2543</v>
      </c>
      <c r="P14" s="29">
        <v>2</v>
      </c>
      <c r="Q14" s="29">
        <v>6</v>
      </c>
      <c r="R14" s="29">
        <v>-68</v>
      </c>
      <c r="S14" s="29">
        <v>0</v>
      </c>
      <c r="T14" s="33"/>
      <c r="U14" s="33"/>
      <c r="V14" s="33">
        <v>1</v>
      </c>
    </row>
    <row r="15" spans="1:22" s="25" customFormat="1" ht="15.75">
      <c r="A15" s="20" t="s">
        <v>12</v>
      </c>
      <c r="B15" s="20" t="s">
        <v>22</v>
      </c>
      <c r="C15" s="47"/>
      <c r="D15" s="92">
        <v>406</v>
      </c>
      <c r="E15" s="47">
        <v>402</v>
      </c>
      <c r="F15" s="47">
        <v>382</v>
      </c>
      <c r="G15" s="92">
        <v>436</v>
      </c>
      <c r="H15" s="47"/>
      <c r="I15" s="47"/>
      <c r="J15" s="47"/>
      <c r="K15" s="47"/>
      <c r="L15" s="47"/>
      <c r="M15" s="92">
        <v>417</v>
      </c>
      <c r="N15" s="39">
        <v>404</v>
      </c>
      <c r="O15" s="23">
        <f t="shared" si="0"/>
        <v>2447</v>
      </c>
      <c r="P15" s="20">
        <v>5</v>
      </c>
      <c r="Q15" s="20">
        <v>3</v>
      </c>
      <c r="R15" s="23">
        <v>89</v>
      </c>
      <c r="S15" s="20">
        <v>2</v>
      </c>
      <c r="T15" s="24">
        <v>1</v>
      </c>
      <c r="U15" s="24"/>
      <c r="V15" s="24"/>
    </row>
    <row r="16" spans="1:22" s="34" customFormat="1" ht="15.75">
      <c r="A16" s="29" t="s">
        <v>13</v>
      </c>
      <c r="B16" s="29" t="s">
        <v>215</v>
      </c>
      <c r="C16" s="48">
        <v>401</v>
      </c>
      <c r="D16" s="93">
        <v>464</v>
      </c>
      <c r="E16" s="48">
        <v>428</v>
      </c>
      <c r="F16" s="48"/>
      <c r="G16" s="93">
        <v>434</v>
      </c>
      <c r="H16" s="48"/>
      <c r="I16" s="48">
        <v>404</v>
      </c>
      <c r="J16" s="48"/>
      <c r="K16" s="48"/>
      <c r="L16" s="48"/>
      <c r="M16" s="48"/>
      <c r="N16" s="96">
        <v>449</v>
      </c>
      <c r="O16" s="32">
        <f t="shared" si="0"/>
        <v>2580</v>
      </c>
      <c r="P16" s="29">
        <v>5</v>
      </c>
      <c r="Q16" s="29">
        <v>3</v>
      </c>
      <c r="R16" s="32">
        <v>129</v>
      </c>
      <c r="S16" s="29">
        <v>2</v>
      </c>
      <c r="T16" s="33">
        <v>1</v>
      </c>
      <c r="U16" s="33"/>
      <c r="V16" s="33"/>
    </row>
    <row r="17" spans="1:22" s="25" customFormat="1" ht="16.5" thickBot="1">
      <c r="A17" s="20" t="s">
        <v>14</v>
      </c>
      <c r="B17" s="20" t="s">
        <v>16</v>
      </c>
      <c r="C17" s="53"/>
      <c r="D17" s="53">
        <v>425</v>
      </c>
      <c r="E17" s="53"/>
      <c r="F17" s="53"/>
      <c r="G17" s="173">
        <v>430</v>
      </c>
      <c r="H17" s="53"/>
      <c r="I17" s="53">
        <v>424</v>
      </c>
      <c r="J17" s="53">
        <v>395</v>
      </c>
      <c r="K17" s="173">
        <v>436</v>
      </c>
      <c r="L17" s="53"/>
      <c r="M17" s="53">
        <v>404</v>
      </c>
      <c r="N17" s="54"/>
      <c r="O17" s="27">
        <f t="shared" si="0"/>
        <v>2514</v>
      </c>
      <c r="P17" s="28">
        <v>2</v>
      </c>
      <c r="Q17" s="28">
        <v>6</v>
      </c>
      <c r="R17" s="27">
        <v>-64</v>
      </c>
      <c r="S17" s="28">
        <v>0</v>
      </c>
      <c r="T17" s="113"/>
      <c r="U17" s="113"/>
      <c r="V17" s="113">
        <v>1</v>
      </c>
    </row>
    <row r="18" spans="3:22" ht="16.5" thickTop="1">
      <c r="C18" s="6">
        <f>SUM(C4)+SUM(C8:C11)+SUM(C13:C17)</f>
        <v>1972</v>
      </c>
      <c r="D18" s="6">
        <f aca="true" t="shared" si="1" ref="D18:M18">SUM(D3:D17)</f>
        <v>4548</v>
      </c>
      <c r="E18" s="6">
        <f t="shared" si="1"/>
        <v>4789</v>
      </c>
      <c r="F18" s="6">
        <f t="shared" si="1"/>
        <v>3291</v>
      </c>
      <c r="G18" s="6">
        <f t="shared" si="1"/>
        <v>3381</v>
      </c>
      <c r="H18" s="6">
        <f t="shared" si="1"/>
        <v>754</v>
      </c>
      <c r="I18" s="6">
        <f t="shared" si="1"/>
        <v>4502</v>
      </c>
      <c r="J18" s="6">
        <f t="shared" si="1"/>
        <v>2617</v>
      </c>
      <c r="K18" s="6">
        <f t="shared" si="1"/>
        <v>2016</v>
      </c>
      <c r="L18" s="6">
        <f>SUM(L13:L17)+L3</f>
        <v>1186</v>
      </c>
      <c r="M18" s="6">
        <f t="shared" si="1"/>
        <v>3201</v>
      </c>
      <c r="N18" s="6">
        <f>SUM(N3:N6)+SUM(N8:N10)+SUM(N12:N17)</f>
        <v>3426</v>
      </c>
      <c r="T18" s="2">
        <f>SUM(T3:T17)</f>
        <v>5</v>
      </c>
      <c r="U18" s="2">
        <f>SUM(U3:U17)</f>
        <v>0</v>
      </c>
      <c r="V18" s="2">
        <f>SUM(V3:V17)</f>
        <v>10</v>
      </c>
    </row>
    <row r="19" spans="2:14" ht="15.75">
      <c r="B19" s="1" t="s">
        <v>249</v>
      </c>
      <c r="C19" s="6">
        <f>COUNT(C4)+COUNT(C8:C11)+COUNT(C13:C17)</f>
        <v>5</v>
      </c>
      <c r="D19" s="6">
        <f aca="true" t="shared" si="2" ref="D19:M19">COUNT(D3:D17)</f>
        <v>11</v>
      </c>
      <c r="E19" s="6">
        <f t="shared" si="2"/>
        <v>11</v>
      </c>
      <c r="F19" s="6">
        <f t="shared" si="2"/>
        <v>8</v>
      </c>
      <c r="G19" s="6">
        <f t="shared" si="2"/>
        <v>8</v>
      </c>
      <c r="H19" s="6">
        <f t="shared" si="2"/>
        <v>2</v>
      </c>
      <c r="I19" s="6">
        <f t="shared" si="2"/>
        <v>11</v>
      </c>
      <c r="J19" s="6">
        <f t="shared" si="2"/>
        <v>7</v>
      </c>
      <c r="K19" s="6">
        <f t="shared" si="2"/>
        <v>5</v>
      </c>
      <c r="L19" s="6">
        <f>COUNT(L13:L17)+COUNT(L3)</f>
        <v>3</v>
      </c>
      <c r="M19" s="6">
        <f t="shared" si="2"/>
        <v>8</v>
      </c>
      <c r="N19" s="6">
        <f>COUNT(N3:N6)+COUNT(N8:N10)+COUNT(N12:N17)</f>
        <v>8</v>
      </c>
    </row>
    <row r="20" spans="2:22" ht="31.5">
      <c r="B20" s="12" t="s">
        <v>129</v>
      </c>
      <c r="C20" s="17">
        <f>C18/C19</f>
        <v>394.4</v>
      </c>
      <c r="D20" s="17">
        <f aca="true" t="shared" si="3" ref="D20:M20">AVERAGE(D3:D17)</f>
        <v>413.45454545454544</v>
      </c>
      <c r="E20" s="17">
        <f t="shared" si="3"/>
        <v>435.3636363636364</v>
      </c>
      <c r="F20" s="17">
        <f t="shared" si="3"/>
        <v>411.375</v>
      </c>
      <c r="G20" s="17">
        <f t="shared" si="3"/>
        <v>422.625</v>
      </c>
      <c r="H20" s="17">
        <f t="shared" si="3"/>
        <v>377</v>
      </c>
      <c r="I20" s="17">
        <f t="shared" si="3"/>
        <v>409.27272727272725</v>
      </c>
      <c r="J20" s="17">
        <f t="shared" si="3"/>
        <v>373.85714285714283</v>
      </c>
      <c r="K20" s="17">
        <f t="shared" si="3"/>
        <v>403.2</v>
      </c>
      <c r="L20" s="17">
        <f>L18/L19</f>
        <v>395.3333333333333</v>
      </c>
      <c r="M20" s="17">
        <f t="shared" si="3"/>
        <v>400.125</v>
      </c>
      <c r="N20" s="17">
        <f>N18/N19</f>
        <v>428.25</v>
      </c>
      <c r="O20" s="3" t="s">
        <v>30</v>
      </c>
      <c r="P20" s="265" t="s">
        <v>117</v>
      </c>
      <c r="Q20" s="265"/>
      <c r="R20" s="3" t="s">
        <v>31</v>
      </c>
      <c r="S20" s="11" t="s">
        <v>118</v>
      </c>
      <c r="U20" s="105" t="s">
        <v>128</v>
      </c>
      <c r="V20" s="105" t="s">
        <v>247</v>
      </c>
    </row>
    <row r="21" spans="15:22" ht="15.75">
      <c r="O21" s="6">
        <f>SUM(O3:O17)</f>
        <v>36885</v>
      </c>
      <c r="P21" s="1">
        <f>SUM(P3:P17)</f>
        <v>48</v>
      </c>
      <c r="Q21" s="1">
        <f>SUM(Q3:Q17)</f>
        <v>72</v>
      </c>
      <c r="R21" s="1">
        <f>SUM(R3:R17)</f>
        <v>-711</v>
      </c>
      <c r="S21" s="1">
        <f>SUM(S3:S17)</f>
        <v>10</v>
      </c>
      <c r="U21" s="2">
        <f>P21-Q21</f>
        <v>-24</v>
      </c>
      <c r="V21" s="2">
        <f>SUM(T18:V18)</f>
        <v>15</v>
      </c>
    </row>
    <row r="23" spans="3:16" ht="15.75">
      <c r="C23" s="270" t="s">
        <v>40</v>
      </c>
      <c r="D23" s="270"/>
      <c r="E23" s="10"/>
      <c r="F23" s="10"/>
      <c r="G23" s="10"/>
      <c r="O23" s="1" t="s">
        <v>130</v>
      </c>
      <c r="P23" s="19">
        <f>O21/V21</f>
        <v>2459</v>
      </c>
    </row>
    <row r="24" spans="3:16" ht="15.75">
      <c r="C24" s="268" t="s">
        <v>134</v>
      </c>
      <c r="D24" s="268"/>
      <c r="E24" s="37"/>
      <c r="F24" s="37"/>
      <c r="G24" s="37"/>
      <c r="O24" s="1" t="s">
        <v>260</v>
      </c>
      <c r="P24" s="6">
        <f>O3+O5+O7+O9+O10+O12+O14+O16+O31+O33+O36+O38+O40+O42+O44</f>
        <v>37024</v>
      </c>
    </row>
    <row r="25" spans="3:15" ht="15.75">
      <c r="C25" s="269" t="s">
        <v>135</v>
      </c>
      <c r="D25" s="269"/>
      <c r="E25" s="35"/>
      <c r="F25" s="35"/>
      <c r="G25" s="35"/>
      <c r="L25" s="265" t="s">
        <v>154</v>
      </c>
      <c r="M25" s="265"/>
      <c r="N25" s="3" t="s">
        <v>155</v>
      </c>
      <c r="O25" s="14" t="s">
        <v>128</v>
      </c>
    </row>
    <row r="26" spans="12:15" ht="15.75">
      <c r="L26" s="1">
        <f>P21+P45</f>
        <v>86</v>
      </c>
      <c r="M26" s="1">
        <f>Q21+Q45</f>
        <v>154</v>
      </c>
      <c r="N26" s="1">
        <f>S21+S45</f>
        <v>13</v>
      </c>
      <c r="O26" s="1">
        <f>L26-M26</f>
        <v>-68</v>
      </c>
    </row>
    <row r="27" spans="1:8" ht="15.75">
      <c r="A27" s="73" t="s">
        <v>144</v>
      </c>
      <c r="B27" s="74"/>
      <c r="C27" s="74" t="s">
        <v>150</v>
      </c>
      <c r="D27" s="74" t="s">
        <v>145</v>
      </c>
      <c r="E27" s="74"/>
      <c r="F27" s="74"/>
      <c r="G27" s="266" t="s">
        <v>146</v>
      </c>
      <c r="H27" s="266"/>
    </row>
    <row r="28" ht="15.75">
      <c r="I28" s="56"/>
    </row>
    <row r="29" spans="2:22" ht="34.5" customHeight="1" thickBot="1">
      <c r="B29" s="3" t="s">
        <v>25</v>
      </c>
      <c r="C29" s="9" t="s">
        <v>179</v>
      </c>
      <c r="D29" s="9" t="s">
        <v>180</v>
      </c>
      <c r="E29" s="9" t="s">
        <v>36</v>
      </c>
      <c r="F29" s="9" t="s">
        <v>33</v>
      </c>
      <c r="G29" s="9" t="s">
        <v>181</v>
      </c>
      <c r="H29" s="9" t="s">
        <v>182</v>
      </c>
      <c r="I29" s="9" t="s">
        <v>183</v>
      </c>
      <c r="J29" s="9" t="s">
        <v>184</v>
      </c>
      <c r="K29" s="9" t="s">
        <v>185</v>
      </c>
      <c r="L29" s="9" t="s">
        <v>151</v>
      </c>
      <c r="M29" s="9" t="s">
        <v>197</v>
      </c>
      <c r="N29" s="83" t="s">
        <v>32</v>
      </c>
      <c r="O29" s="12" t="s">
        <v>30</v>
      </c>
      <c r="P29" s="12" t="s">
        <v>169</v>
      </c>
      <c r="Q29" s="12" t="s">
        <v>29</v>
      </c>
      <c r="R29" s="12" t="s">
        <v>31</v>
      </c>
      <c r="S29" s="11" t="s">
        <v>116</v>
      </c>
      <c r="T29" s="2" t="s">
        <v>191</v>
      </c>
      <c r="U29" s="2" t="s">
        <v>192</v>
      </c>
      <c r="V29" s="2" t="s">
        <v>193</v>
      </c>
    </row>
    <row r="30" spans="1:22" s="148" customFormat="1" ht="15.75">
      <c r="A30" s="144" t="s">
        <v>221</v>
      </c>
      <c r="B30" s="144" t="s">
        <v>15</v>
      </c>
      <c r="C30" s="145"/>
      <c r="D30" s="145">
        <v>407</v>
      </c>
      <c r="E30" s="145"/>
      <c r="F30" s="185">
        <v>445</v>
      </c>
      <c r="G30" s="145"/>
      <c r="H30" s="145"/>
      <c r="I30" s="145">
        <v>400</v>
      </c>
      <c r="J30" s="145">
        <v>398</v>
      </c>
      <c r="K30" s="185">
        <v>434</v>
      </c>
      <c r="L30" s="145"/>
      <c r="M30" s="145"/>
      <c r="N30" s="185">
        <v>427</v>
      </c>
      <c r="O30" s="146">
        <f aca="true" t="shared" si="4" ref="O30:O44">SUM(C30:N30)</f>
        <v>2511</v>
      </c>
      <c r="P30" s="144">
        <v>3</v>
      </c>
      <c r="Q30" s="144">
        <v>5</v>
      </c>
      <c r="R30" s="144">
        <v>-10</v>
      </c>
      <c r="S30" s="144">
        <v>0</v>
      </c>
      <c r="V30" s="148">
        <v>1</v>
      </c>
    </row>
    <row r="31" spans="1:22" s="158" customFormat="1" ht="15.75">
      <c r="A31" s="154" t="s">
        <v>222</v>
      </c>
      <c r="B31" s="154" t="s">
        <v>17</v>
      </c>
      <c r="C31" s="155">
        <v>392</v>
      </c>
      <c r="D31" s="155">
        <v>398</v>
      </c>
      <c r="E31" s="155"/>
      <c r="F31" s="155"/>
      <c r="G31" s="155">
        <v>394</v>
      </c>
      <c r="H31" s="155">
        <v>157</v>
      </c>
      <c r="I31" s="155">
        <v>393</v>
      </c>
      <c r="J31" s="155"/>
      <c r="K31" s="155"/>
      <c r="L31" s="155"/>
      <c r="M31" s="155">
        <v>215</v>
      </c>
      <c r="N31" s="187">
        <v>465</v>
      </c>
      <c r="O31" s="156">
        <f t="shared" si="4"/>
        <v>2414</v>
      </c>
      <c r="P31" s="154">
        <v>1</v>
      </c>
      <c r="Q31" s="154">
        <v>7</v>
      </c>
      <c r="R31" s="154">
        <f>O31-2606</f>
        <v>-192</v>
      </c>
      <c r="S31" s="154">
        <v>0</v>
      </c>
      <c r="V31" s="158">
        <v>1</v>
      </c>
    </row>
    <row r="32" spans="1:22" s="148" customFormat="1" ht="15.75">
      <c r="A32" s="144" t="s">
        <v>156</v>
      </c>
      <c r="B32" s="144" t="s">
        <v>218</v>
      </c>
      <c r="C32" s="145"/>
      <c r="D32" s="145">
        <v>363</v>
      </c>
      <c r="E32" s="185">
        <v>432</v>
      </c>
      <c r="F32" s="145"/>
      <c r="G32" s="185">
        <v>422</v>
      </c>
      <c r="H32" s="145"/>
      <c r="I32" s="145"/>
      <c r="J32" s="145"/>
      <c r="K32" s="145">
        <v>400</v>
      </c>
      <c r="L32" s="145"/>
      <c r="M32" s="145">
        <v>407</v>
      </c>
      <c r="N32" s="185">
        <v>424</v>
      </c>
      <c r="O32" s="146">
        <f t="shared" si="4"/>
        <v>2448</v>
      </c>
      <c r="P32" s="144">
        <v>3</v>
      </c>
      <c r="Q32" s="144">
        <v>5</v>
      </c>
      <c r="R32" s="144">
        <v>-7</v>
      </c>
      <c r="S32" s="144">
        <v>0</v>
      </c>
      <c r="V32" s="148">
        <v>1</v>
      </c>
    </row>
    <row r="33" spans="1:22" s="158" customFormat="1" ht="15.75">
      <c r="A33" s="154" t="s">
        <v>157</v>
      </c>
      <c r="B33" s="154" t="s">
        <v>23</v>
      </c>
      <c r="C33" s="155">
        <v>392</v>
      </c>
      <c r="D33" s="155"/>
      <c r="E33" s="187">
        <v>442</v>
      </c>
      <c r="F33" s="155"/>
      <c r="G33" s="155"/>
      <c r="H33" s="155"/>
      <c r="I33" s="155">
        <v>371</v>
      </c>
      <c r="J33" s="155">
        <v>388</v>
      </c>
      <c r="K33" s="155"/>
      <c r="L33" s="155"/>
      <c r="M33" s="155">
        <v>393</v>
      </c>
      <c r="N33" s="187">
        <v>420</v>
      </c>
      <c r="O33" s="156">
        <f t="shared" si="4"/>
        <v>2406</v>
      </c>
      <c r="P33" s="154">
        <v>2</v>
      </c>
      <c r="Q33" s="154">
        <v>6</v>
      </c>
      <c r="R33" s="154">
        <f>O33-2505</f>
        <v>-99</v>
      </c>
      <c r="S33" s="154">
        <v>0</v>
      </c>
      <c r="V33" s="158">
        <v>1</v>
      </c>
    </row>
    <row r="34" spans="1:22" s="148" customFormat="1" ht="15.75">
      <c r="A34" s="144" t="s">
        <v>158</v>
      </c>
      <c r="B34" s="144" t="s">
        <v>217</v>
      </c>
      <c r="C34" s="145"/>
      <c r="D34" s="145">
        <v>391</v>
      </c>
      <c r="E34" s="185">
        <v>447</v>
      </c>
      <c r="F34" s="185">
        <v>430</v>
      </c>
      <c r="G34" s="145"/>
      <c r="H34" s="145"/>
      <c r="I34" s="145">
        <v>370</v>
      </c>
      <c r="J34" s="145"/>
      <c r="K34" s="145">
        <v>414</v>
      </c>
      <c r="L34" s="145"/>
      <c r="M34" s="145"/>
      <c r="N34" s="185">
        <v>447</v>
      </c>
      <c r="O34" s="146">
        <f t="shared" si="4"/>
        <v>2499</v>
      </c>
      <c r="P34" s="144">
        <v>3</v>
      </c>
      <c r="Q34" s="144">
        <v>5</v>
      </c>
      <c r="R34" s="144">
        <v>-26</v>
      </c>
      <c r="S34" s="144">
        <v>0</v>
      </c>
      <c r="V34" s="148">
        <v>1</v>
      </c>
    </row>
    <row r="35" spans="1:22" s="148" customFormat="1" ht="15.75">
      <c r="A35" s="144" t="s">
        <v>159</v>
      </c>
      <c r="B35" s="144" t="s">
        <v>26</v>
      </c>
      <c r="C35" s="145">
        <v>404</v>
      </c>
      <c r="D35" s="145"/>
      <c r="E35" s="145"/>
      <c r="F35" s="145">
        <v>417</v>
      </c>
      <c r="G35" s="145">
        <v>390</v>
      </c>
      <c r="H35" s="145"/>
      <c r="I35" s="145"/>
      <c r="J35" s="145">
        <v>396</v>
      </c>
      <c r="K35" s="145">
        <v>417</v>
      </c>
      <c r="L35" s="145"/>
      <c r="M35" s="185">
        <v>445</v>
      </c>
      <c r="N35" s="145"/>
      <c r="O35" s="146">
        <f t="shared" si="4"/>
        <v>2469</v>
      </c>
      <c r="P35" s="144">
        <v>1</v>
      </c>
      <c r="Q35" s="144">
        <v>7</v>
      </c>
      <c r="R35" s="144">
        <v>-184</v>
      </c>
      <c r="S35" s="144">
        <v>0</v>
      </c>
      <c r="V35" s="148">
        <v>1</v>
      </c>
    </row>
    <row r="36" spans="1:22" s="158" customFormat="1" ht="15.75">
      <c r="A36" s="154" t="s">
        <v>160</v>
      </c>
      <c r="B36" s="154" t="s">
        <v>214</v>
      </c>
      <c r="C36" s="155"/>
      <c r="D36" s="155">
        <v>403</v>
      </c>
      <c r="E36" s="155">
        <v>419</v>
      </c>
      <c r="F36" s="187">
        <v>420</v>
      </c>
      <c r="G36" s="187">
        <v>434</v>
      </c>
      <c r="H36" s="155"/>
      <c r="I36" s="155"/>
      <c r="J36" s="155"/>
      <c r="K36" s="155">
        <v>411</v>
      </c>
      <c r="L36" s="155"/>
      <c r="M36" s="155"/>
      <c r="N36" s="187">
        <v>442</v>
      </c>
      <c r="O36" s="156">
        <f t="shared" si="4"/>
        <v>2529</v>
      </c>
      <c r="P36" s="154">
        <v>3</v>
      </c>
      <c r="Q36" s="154">
        <v>5</v>
      </c>
      <c r="R36" s="154">
        <v>-6</v>
      </c>
      <c r="S36" s="154">
        <v>0</v>
      </c>
      <c r="V36" s="158">
        <v>1</v>
      </c>
    </row>
    <row r="37" spans="1:21" s="148" customFormat="1" ht="15.75">
      <c r="A37" s="144" t="s">
        <v>161</v>
      </c>
      <c r="B37" s="144" t="s">
        <v>19</v>
      </c>
      <c r="C37" s="145"/>
      <c r="D37" s="145"/>
      <c r="E37" s="145"/>
      <c r="F37" s="185">
        <v>433</v>
      </c>
      <c r="G37" s="145">
        <v>396</v>
      </c>
      <c r="H37" s="145"/>
      <c r="I37" s="145"/>
      <c r="J37" s="145">
        <v>390</v>
      </c>
      <c r="K37" s="185">
        <v>420</v>
      </c>
      <c r="L37" s="145"/>
      <c r="M37" s="185">
        <v>427</v>
      </c>
      <c r="N37" s="185">
        <v>426</v>
      </c>
      <c r="O37" s="146">
        <f t="shared" si="4"/>
        <v>2492</v>
      </c>
      <c r="P37" s="144">
        <v>4</v>
      </c>
      <c r="Q37" s="144">
        <v>4</v>
      </c>
      <c r="R37" s="144">
        <f>O37-2525</f>
        <v>-33</v>
      </c>
      <c r="S37" s="144">
        <v>1</v>
      </c>
      <c r="U37" s="148">
        <v>1</v>
      </c>
    </row>
    <row r="38" spans="1:22" s="158" customFormat="1" ht="15.75">
      <c r="A38" s="154" t="s">
        <v>162</v>
      </c>
      <c r="B38" s="169" t="s">
        <v>21</v>
      </c>
      <c r="C38" s="155">
        <v>393</v>
      </c>
      <c r="D38" s="155"/>
      <c r="E38" s="155">
        <v>398</v>
      </c>
      <c r="F38" s="155"/>
      <c r="G38" s="155"/>
      <c r="H38" s="155"/>
      <c r="I38" s="155">
        <v>396</v>
      </c>
      <c r="J38" s="155">
        <v>369</v>
      </c>
      <c r="K38" s="155"/>
      <c r="L38" s="187">
        <v>434</v>
      </c>
      <c r="M38" s="155"/>
      <c r="N38" s="222">
        <v>434</v>
      </c>
      <c r="O38" s="156">
        <f t="shared" si="4"/>
        <v>2424</v>
      </c>
      <c r="P38" s="154">
        <v>2</v>
      </c>
      <c r="Q38" s="154">
        <v>6</v>
      </c>
      <c r="R38" s="154">
        <v>-82</v>
      </c>
      <c r="S38" s="154">
        <v>0</v>
      </c>
      <c r="V38" s="158">
        <v>1</v>
      </c>
    </row>
    <row r="39" spans="1:22" s="148" customFormat="1" ht="15.75">
      <c r="A39" s="144" t="s">
        <v>163</v>
      </c>
      <c r="B39" s="189" t="s">
        <v>24</v>
      </c>
      <c r="C39" s="145">
        <v>399</v>
      </c>
      <c r="D39" s="145">
        <v>415</v>
      </c>
      <c r="E39" s="145">
        <v>410</v>
      </c>
      <c r="F39" s="145"/>
      <c r="G39" s="145"/>
      <c r="H39" s="145"/>
      <c r="I39" s="145"/>
      <c r="J39" s="145">
        <v>375</v>
      </c>
      <c r="K39" s="145">
        <v>373</v>
      </c>
      <c r="L39" s="145"/>
      <c r="M39" s="145"/>
      <c r="N39" s="223">
        <v>429</v>
      </c>
      <c r="O39" s="146">
        <f t="shared" si="4"/>
        <v>2401</v>
      </c>
      <c r="P39" s="144">
        <v>1</v>
      </c>
      <c r="Q39" s="144">
        <v>7</v>
      </c>
      <c r="R39" s="144">
        <v>-218</v>
      </c>
      <c r="S39" s="144">
        <v>0</v>
      </c>
      <c r="V39" s="148">
        <v>1</v>
      </c>
    </row>
    <row r="40" spans="1:22" s="158" customFormat="1" ht="15.75">
      <c r="A40" s="154" t="s">
        <v>164</v>
      </c>
      <c r="B40" s="154" t="s">
        <v>20</v>
      </c>
      <c r="C40" s="155">
        <v>382</v>
      </c>
      <c r="D40" s="155">
        <v>409</v>
      </c>
      <c r="E40" s="155"/>
      <c r="F40" s="155">
        <v>413</v>
      </c>
      <c r="G40" s="222">
        <v>421</v>
      </c>
      <c r="H40" s="155"/>
      <c r="I40" s="155"/>
      <c r="J40" s="155"/>
      <c r="K40" s="155"/>
      <c r="L40" s="155"/>
      <c r="M40" s="155">
        <v>412</v>
      </c>
      <c r="N40" s="222">
        <v>445</v>
      </c>
      <c r="O40" s="156">
        <f t="shared" si="4"/>
        <v>2482</v>
      </c>
      <c r="P40" s="154">
        <v>2</v>
      </c>
      <c r="Q40" s="154">
        <v>6</v>
      </c>
      <c r="R40" s="154">
        <v>-121</v>
      </c>
      <c r="S40" s="154">
        <v>0</v>
      </c>
      <c r="V40" s="158">
        <v>1</v>
      </c>
    </row>
    <row r="41" spans="1:22" s="148" customFormat="1" ht="15.75">
      <c r="A41" s="144" t="s">
        <v>165</v>
      </c>
      <c r="B41" s="144" t="s">
        <v>18</v>
      </c>
      <c r="C41" s="145">
        <v>398</v>
      </c>
      <c r="D41" s="145"/>
      <c r="E41" s="145"/>
      <c r="F41" s="223">
        <v>424</v>
      </c>
      <c r="G41" s="145"/>
      <c r="H41" s="145"/>
      <c r="I41" s="145">
        <v>409</v>
      </c>
      <c r="J41" s="223">
        <v>424</v>
      </c>
      <c r="K41" s="145"/>
      <c r="L41" s="145"/>
      <c r="M41" s="223">
        <v>423</v>
      </c>
      <c r="N41" s="145">
        <v>408</v>
      </c>
      <c r="O41" s="146">
        <f t="shared" si="4"/>
        <v>2486</v>
      </c>
      <c r="P41" s="144">
        <v>3</v>
      </c>
      <c r="Q41" s="144">
        <v>5</v>
      </c>
      <c r="R41" s="144">
        <v>-121</v>
      </c>
      <c r="S41" s="144">
        <v>0</v>
      </c>
      <c r="V41" s="148">
        <v>1</v>
      </c>
    </row>
    <row r="42" spans="1:22" s="158" customFormat="1" ht="15.75">
      <c r="A42" s="154" t="s">
        <v>166</v>
      </c>
      <c r="B42" s="154" t="s">
        <v>216</v>
      </c>
      <c r="C42" s="155">
        <v>405</v>
      </c>
      <c r="D42" s="155"/>
      <c r="E42" s="155"/>
      <c r="F42" s="222">
        <v>425</v>
      </c>
      <c r="G42" s="222">
        <v>459</v>
      </c>
      <c r="H42" s="155"/>
      <c r="I42" s="155">
        <v>411</v>
      </c>
      <c r="J42" s="155">
        <v>364</v>
      </c>
      <c r="K42" s="155">
        <v>400</v>
      </c>
      <c r="L42" s="155"/>
      <c r="M42" s="155"/>
      <c r="N42" s="155"/>
      <c r="O42" s="156">
        <f t="shared" si="4"/>
        <v>2464</v>
      </c>
      <c r="P42" s="154">
        <v>2</v>
      </c>
      <c r="Q42" s="154">
        <v>6</v>
      </c>
      <c r="R42" s="154">
        <v>-128</v>
      </c>
      <c r="S42" s="154">
        <v>0</v>
      </c>
      <c r="V42" s="158">
        <v>1</v>
      </c>
    </row>
    <row r="43" spans="1:22" s="148" customFormat="1" ht="15.75">
      <c r="A43" s="144" t="s">
        <v>167</v>
      </c>
      <c r="B43" s="144" t="s">
        <v>223</v>
      </c>
      <c r="C43" s="145">
        <v>366</v>
      </c>
      <c r="D43" s="145">
        <v>410</v>
      </c>
      <c r="E43" s="145"/>
      <c r="F43" s="223">
        <v>428</v>
      </c>
      <c r="G43" s="145"/>
      <c r="H43" s="145"/>
      <c r="I43" s="223">
        <v>439</v>
      </c>
      <c r="J43" s="145"/>
      <c r="K43" s="145"/>
      <c r="L43" s="145"/>
      <c r="M43" s="145">
        <v>392</v>
      </c>
      <c r="N43" s="223">
        <v>453</v>
      </c>
      <c r="O43" s="146">
        <f t="shared" si="4"/>
        <v>2488</v>
      </c>
      <c r="P43" s="144">
        <v>3</v>
      </c>
      <c r="Q43" s="144">
        <v>5</v>
      </c>
      <c r="R43" s="144">
        <v>-29</v>
      </c>
      <c r="S43" s="144">
        <v>0</v>
      </c>
      <c r="V43" s="148">
        <v>1</v>
      </c>
    </row>
    <row r="44" spans="1:22" s="158" customFormat="1" ht="16.5" thickBot="1">
      <c r="A44" s="154" t="s">
        <v>168</v>
      </c>
      <c r="B44" s="154" t="s">
        <v>22</v>
      </c>
      <c r="C44" s="159">
        <v>395</v>
      </c>
      <c r="D44" s="159">
        <v>395</v>
      </c>
      <c r="E44" s="234">
        <v>430</v>
      </c>
      <c r="F44" s="159"/>
      <c r="G44" s="234">
        <v>414</v>
      </c>
      <c r="H44" s="159"/>
      <c r="I44" s="234">
        <v>410</v>
      </c>
      <c r="J44" s="159"/>
      <c r="K44" s="159"/>
      <c r="L44" s="159"/>
      <c r="M44" s="159">
        <v>396</v>
      </c>
      <c r="N44" s="159"/>
      <c r="O44" s="161">
        <f t="shared" si="4"/>
        <v>2440</v>
      </c>
      <c r="P44" s="160">
        <v>5</v>
      </c>
      <c r="Q44" s="160">
        <v>3</v>
      </c>
      <c r="R44" s="160">
        <v>11</v>
      </c>
      <c r="S44" s="160">
        <v>2</v>
      </c>
      <c r="T44" s="179">
        <v>1</v>
      </c>
      <c r="U44" s="179"/>
      <c r="V44" s="179"/>
    </row>
    <row r="45" spans="3:22" ht="16.5" thickTop="1">
      <c r="C45" s="7">
        <f>SUM(C30:C44)</f>
        <v>3926</v>
      </c>
      <c r="D45" s="7">
        <f aca="true" t="shared" si="5" ref="D45:N45">SUM(D30:D44)</f>
        <v>3591</v>
      </c>
      <c r="E45" s="7">
        <f t="shared" si="5"/>
        <v>2978</v>
      </c>
      <c r="F45" s="7">
        <f t="shared" si="5"/>
        <v>3835</v>
      </c>
      <c r="G45" s="7">
        <f t="shared" si="5"/>
        <v>3330</v>
      </c>
      <c r="H45" s="7">
        <f t="shared" si="5"/>
        <v>157</v>
      </c>
      <c r="I45" s="7">
        <f t="shared" si="5"/>
        <v>3599</v>
      </c>
      <c r="J45" s="7">
        <f t="shared" si="5"/>
        <v>3104</v>
      </c>
      <c r="K45" s="7">
        <f t="shared" si="5"/>
        <v>3269</v>
      </c>
      <c r="L45" s="7">
        <f t="shared" si="5"/>
        <v>434</v>
      </c>
      <c r="M45" s="7">
        <f>SUM(M32:M44)</f>
        <v>3295</v>
      </c>
      <c r="N45" s="7">
        <f t="shared" si="5"/>
        <v>5220</v>
      </c>
      <c r="P45" s="1">
        <f>SUM(P30:P44)</f>
        <v>38</v>
      </c>
      <c r="Q45" s="1">
        <f>SUM(Q30:Q44)</f>
        <v>82</v>
      </c>
      <c r="R45" s="1">
        <f>SUM(R30:R44)</f>
        <v>-1245</v>
      </c>
      <c r="S45" s="1">
        <f>SUM(S30:S44)</f>
        <v>3</v>
      </c>
      <c r="T45" s="1">
        <f>SUM(T30:T44)+T18</f>
        <v>6</v>
      </c>
      <c r="U45" s="1">
        <f>SUM(U30:U44)+U18</f>
        <v>1</v>
      </c>
      <c r="V45" s="1">
        <f>SUM(V30:V44)+V18</f>
        <v>23</v>
      </c>
    </row>
    <row r="46" spans="2:14" ht="31.5">
      <c r="B46" s="83" t="s">
        <v>279</v>
      </c>
      <c r="C46" s="1">
        <f>COUNT(C30:C44)</f>
        <v>10</v>
      </c>
      <c r="D46" s="1">
        <f aca="true" t="shared" si="6" ref="D46:N46">COUNT(D30:D44)</f>
        <v>9</v>
      </c>
      <c r="E46" s="1">
        <f t="shared" si="6"/>
        <v>7</v>
      </c>
      <c r="F46" s="1">
        <f t="shared" si="6"/>
        <v>9</v>
      </c>
      <c r="G46" s="1">
        <f t="shared" si="6"/>
        <v>8</v>
      </c>
      <c r="H46" s="1">
        <f t="shared" si="6"/>
        <v>1</v>
      </c>
      <c r="I46" s="1">
        <f t="shared" si="6"/>
        <v>9</v>
      </c>
      <c r="J46" s="1">
        <f t="shared" si="6"/>
        <v>8</v>
      </c>
      <c r="K46" s="1">
        <f t="shared" si="6"/>
        <v>8</v>
      </c>
      <c r="L46" s="1">
        <f t="shared" si="6"/>
        <v>1</v>
      </c>
      <c r="M46" s="1">
        <f>COUNT(M32:M44)</f>
        <v>8</v>
      </c>
      <c r="N46" s="1">
        <f t="shared" si="6"/>
        <v>12</v>
      </c>
    </row>
    <row r="47" spans="2:22" ht="31.5">
      <c r="B47" s="12" t="s">
        <v>278</v>
      </c>
      <c r="C47" s="17">
        <f>C45/C46</f>
        <v>392.6</v>
      </c>
      <c r="D47" s="17">
        <f>D45/D46</f>
        <v>399</v>
      </c>
      <c r="E47" s="17">
        <f>E45/E46</f>
        <v>425.42857142857144</v>
      </c>
      <c r="F47" s="17">
        <f>F45/F46</f>
        <v>426.1111111111111</v>
      </c>
      <c r="G47" s="17">
        <f>G45/G46</f>
        <v>416.25</v>
      </c>
      <c r="H47" s="17"/>
      <c r="I47" s="17">
        <f aca="true" t="shared" si="7" ref="I47:N47">I45/I46</f>
        <v>399.8888888888889</v>
      </c>
      <c r="J47" s="17">
        <f t="shared" si="7"/>
        <v>388</v>
      </c>
      <c r="K47" s="17">
        <f t="shared" si="7"/>
        <v>408.625</v>
      </c>
      <c r="L47" s="17">
        <f t="shared" si="7"/>
        <v>434</v>
      </c>
      <c r="M47" s="17">
        <f t="shared" si="7"/>
        <v>411.875</v>
      </c>
      <c r="N47" s="17">
        <f t="shared" si="7"/>
        <v>435</v>
      </c>
      <c r="O47" s="3" t="s">
        <v>30</v>
      </c>
      <c r="P47" s="265" t="s">
        <v>117</v>
      </c>
      <c r="Q47" s="265"/>
      <c r="R47" s="3" t="s">
        <v>31</v>
      </c>
      <c r="S47" s="11" t="s">
        <v>118</v>
      </c>
      <c r="U47" s="105" t="s">
        <v>128</v>
      </c>
      <c r="V47" s="105" t="s">
        <v>247</v>
      </c>
    </row>
    <row r="48" spans="15:22" ht="15.75">
      <c r="O48" s="6">
        <f>SUM(O30:O44)+O21</f>
        <v>73838</v>
      </c>
      <c r="P48" s="6">
        <f>SUM(P30:P44)+P21</f>
        <v>86</v>
      </c>
      <c r="Q48" s="6">
        <f>SUM(Q30:Q44)+Q21</f>
        <v>154</v>
      </c>
      <c r="R48" s="6">
        <f>SUM(R30:R44)+R21</f>
        <v>-1956</v>
      </c>
      <c r="S48" s="6">
        <f>SUM(S30:S44)+S21</f>
        <v>13</v>
      </c>
      <c r="U48" s="2">
        <f>P48-Q48</f>
        <v>-68</v>
      </c>
      <c r="V48" s="2">
        <f>SUM(T45:V45)</f>
        <v>30</v>
      </c>
    </row>
    <row r="50" spans="15:16" ht="15.75">
      <c r="O50" s="1" t="s">
        <v>130</v>
      </c>
      <c r="P50" s="19">
        <f>O48/V48</f>
        <v>2461.266666666667</v>
      </c>
    </row>
  </sheetData>
  <sheetProtection/>
  <mergeCells count="9">
    <mergeCell ref="P47:Q47"/>
    <mergeCell ref="G27:H27"/>
    <mergeCell ref="P1:Q1"/>
    <mergeCell ref="C23:D23"/>
    <mergeCell ref="P20:Q20"/>
    <mergeCell ref="L25:M25"/>
    <mergeCell ref="C24:D24"/>
    <mergeCell ref="C25:D25"/>
    <mergeCell ref="C1:N1"/>
  </mergeCells>
  <printOptions/>
  <pageMargins left="0.75" right="0.75" top="1" bottom="1" header="0.5" footer="0.5"/>
  <pageSetup horizontalDpi="600" verticalDpi="600" orientation="portrait" paperSize="9" r:id="rId1"/>
  <ignoredErrors>
    <ignoredError sqref="L20:M20" formula="1"/>
    <ignoredError sqref="L18:L19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T50"/>
  <sheetViews>
    <sheetView zoomScale="90" zoomScaleNormal="90" zoomScalePageLayoutView="0" workbookViewId="0" topLeftCell="B25">
      <selection activeCell="D44" sqref="D44"/>
    </sheetView>
  </sheetViews>
  <sheetFormatPr defaultColWidth="9.00390625" defaultRowHeight="12.75"/>
  <cols>
    <col min="1" max="1" width="11.25390625" style="1" bestFit="1" customWidth="1"/>
    <col min="2" max="2" width="15.625" style="1" bestFit="1" customWidth="1"/>
    <col min="3" max="7" width="9.125" style="1" customWidth="1"/>
    <col min="8" max="8" width="10.75390625" style="1" customWidth="1"/>
    <col min="9" max="9" width="12.00390625" style="1" customWidth="1"/>
    <col min="10" max="10" width="10.375" style="1" bestFit="1" customWidth="1"/>
    <col min="11" max="11" width="11.375" style="1" bestFit="1" customWidth="1"/>
    <col min="12" max="12" width="15.625" style="1" bestFit="1" customWidth="1"/>
    <col min="13" max="13" width="18.2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00390625" style="1" customWidth="1"/>
    <col min="19" max="19" width="12.875" style="0" customWidth="1"/>
    <col min="20" max="20" width="12.12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N1" s="265" t="s">
        <v>28</v>
      </c>
      <c r="O1" s="265"/>
      <c r="R1" s="2"/>
      <c r="S1" s="2"/>
      <c r="T1" s="2"/>
    </row>
    <row r="2" spans="2:20" ht="50.25" customHeight="1" thickBot="1">
      <c r="B2" s="3" t="s">
        <v>25</v>
      </c>
      <c r="C2" s="9" t="s">
        <v>88</v>
      </c>
      <c r="D2" s="9" t="s">
        <v>89</v>
      </c>
      <c r="E2" s="9" t="s">
        <v>90</v>
      </c>
      <c r="F2" s="9" t="s">
        <v>119</v>
      </c>
      <c r="G2" s="9" t="s">
        <v>207</v>
      </c>
      <c r="H2" s="9" t="s">
        <v>105</v>
      </c>
      <c r="I2" s="9" t="s">
        <v>104</v>
      </c>
      <c r="J2" s="9" t="s">
        <v>131</v>
      </c>
      <c r="K2" s="9" t="s">
        <v>202</v>
      </c>
      <c r="L2" s="9" t="s">
        <v>187</v>
      </c>
      <c r="M2" s="12" t="s">
        <v>30</v>
      </c>
      <c r="N2" s="12" t="s">
        <v>22</v>
      </c>
      <c r="O2" s="12" t="s">
        <v>29</v>
      </c>
      <c r="P2" s="12" t="s">
        <v>31</v>
      </c>
      <c r="Q2" s="11" t="s">
        <v>116</v>
      </c>
      <c r="R2" s="2" t="s">
        <v>191</v>
      </c>
      <c r="S2" s="2" t="s">
        <v>192</v>
      </c>
      <c r="T2" s="2" t="s">
        <v>193</v>
      </c>
    </row>
    <row r="3" spans="1:20" s="25" customFormat="1" ht="15.75">
      <c r="A3" s="20" t="s">
        <v>0</v>
      </c>
      <c r="B3" s="20" t="s">
        <v>218</v>
      </c>
      <c r="C3" s="92">
        <v>428</v>
      </c>
      <c r="D3" s="47">
        <v>388</v>
      </c>
      <c r="E3" s="92">
        <v>414</v>
      </c>
      <c r="F3" s="47">
        <v>388</v>
      </c>
      <c r="G3" s="92">
        <v>397</v>
      </c>
      <c r="H3" s="92">
        <v>411</v>
      </c>
      <c r="I3" s="47"/>
      <c r="J3" s="47"/>
      <c r="K3" s="47"/>
      <c r="L3" s="47"/>
      <c r="M3" s="23">
        <f aca="true" t="shared" si="0" ref="M3:M17">SUM(C3:L3)</f>
        <v>2426</v>
      </c>
      <c r="N3" s="20">
        <v>6</v>
      </c>
      <c r="O3" s="20">
        <v>2</v>
      </c>
      <c r="P3" s="23">
        <f>M3-2223</f>
        <v>203</v>
      </c>
      <c r="Q3" s="20">
        <v>2</v>
      </c>
      <c r="R3" s="24">
        <v>1</v>
      </c>
      <c r="S3" s="24"/>
      <c r="T3" s="24"/>
    </row>
    <row r="4" spans="1:20" s="34" customFormat="1" ht="15.75">
      <c r="A4" s="29" t="s">
        <v>1</v>
      </c>
      <c r="B4" s="29" t="s">
        <v>17</v>
      </c>
      <c r="C4" s="48">
        <v>403</v>
      </c>
      <c r="D4" s="48">
        <v>389</v>
      </c>
      <c r="E4" s="48"/>
      <c r="F4" s="48"/>
      <c r="G4" s="93">
        <v>413</v>
      </c>
      <c r="H4" s="93">
        <v>414</v>
      </c>
      <c r="I4" s="48">
        <v>407</v>
      </c>
      <c r="J4" s="48"/>
      <c r="K4" s="48">
        <v>389</v>
      </c>
      <c r="L4" s="48"/>
      <c r="M4" s="32">
        <f t="shared" si="0"/>
        <v>2415</v>
      </c>
      <c r="N4" s="29">
        <v>2</v>
      </c>
      <c r="O4" s="29">
        <v>6</v>
      </c>
      <c r="P4" s="29">
        <v>-118</v>
      </c>
      <c r="Q4" s="29">
        <v>0</v>
      </c>
      <c r="R4" s="33"/>
      <c r="S4" s="33"/>
      <c r="T4" s="33">
        <v>1</v>
      </c>
    </row>
    <row r="5" spans="1:20" s="25" customFormat="1" ht="15.75">
      <c r="A5" s="20" t="s">
        <v>2</v>
      </c>
      <c r="B5" s="20" t="s">
        <v>15</v>
      </c>
      <c r="C5" s="47">
        <v>400</v>
      </c>
      <c r="D5" s="47">
        <v>427</v>
      </c>
      <c r="E5" s="47">
        <v>407</v>
      </c>
      <c r="F5" s="47">
        <v>382</v>
      </c>
      <c r="G5" s="47">
        <v>346</v>
      </c>
      <c r="H5" s="47"/>
      <c r="I5" s="92">
        <v>456</v>
      </c>
      <c r="J5" s="47"/>
      <c r="K5" s="47"/>
      <c r="L5" s="47"/>
      <c r="M5" s="23">
        <f t="shared" si="0"/>
        <v>2418</v>
      </c>
      <c r="N5" s="20">
        <v>1</v>
      </c>
      <c r="O5" s="20">
        <v>7</v>
      </c>
      <c r="P5" s="20">
        <v>-234</v>
      </c>
      <c r="Q5" s="20">
        <v>0</v>
      </c>
      <c r="R5" s="24"/>
      <c r="S5" s="24"/>
      <c r="T5" s="24">
        <v>1</v>
      </c>
    </row>
    <row r="6" spans="1:20" s="25" customFormat="1" ht="15.75">
      <c r="A6" s="20" t="s">
        <v>3</v>
      </c>
      <c r="B6" s="20" t="s">
        <v>26</v>
      </c>
      <c r="C6" s="92">
        <v>417</v>
      </c>
      <c r="D6" s="47">
        <v>358</v>
      </c>
      <c r="E6" s="47"/>
      <c r="F6" s="47">
        <v>377</v>
      </c>
      <c r="G6" s="47"/>
      <c r="H6" s="47">
        <v>397</v>
      </c>
      <c r="I6" s="47">
        <v>367</v>
      </c>
      <c r="J6" s="47"/>
      <c r="K6" s="47">
        <v>366</v>
      </c>
      <c r="L6" s="47"/>
      <c r="M6" s="23">
        <f t="shared" si="0"/>
        <v>2282</v>
      </c>
      <c r="N6" s="20">
        <v>1</v>
      </c>
      <c r="O6" s="20">
        <v>7</v>
      </c>
      <c r="P6" s="23">
        <v>-343</v>
      </c>
      <c r="Q6" s="20">
        <v>0</v>
      </c>
      <c r="R6" s="24"/>
      <c r="S6" s="24"/>
      <c r="T6" s="24">
        <v>1</v>
      </c>
    </row>
    <row r="7" spans="1:20" s="34" customFormat="1" ht="15.75">
      <c r="A7" s="29" t="s">
        <v>4</v>
      </c>
      <c r="B7" s="29" t="s">
        <v>215</v>
      </c>
      <c r="C7" s="52">
        <v>404</v>
      </c>
      <c r="D7" s="52"/>
      <c r="E7" s="48">
        <v>399</v>
      </c>
      <c r="F7" s="48">
        <v>393</v>
      </c>
      <c r="G7" s="93">
        <v>426</v>
      </c>
      <c r="H7" s="93">
        <v>420</v>
      </c>
      <c r="I7" s="52"/>
      <c r="J7" s="52"/>
      <c r="K7" s="52">
        <v>404</v>
      </c>
      <c r="L7" s="52"/>
      <c r="M7" s="32">
        <f t="shared" si="0"/>
        <v>2446</v>
      </c>
      <c r="N7" s="29">
        <v>2</v>
      </c>
      <c r="O7" s="29">
        <v>6</v>
      </c>
      <c r="P7" s="29">
        <v>-89</v>
      </c>
      <c r="Q7" s="29">
        <v>0</v>
      </c>
      <c r="R7" s="33"/>
      <c r="S7" s="33"/>
      <c r="T7" s="33">
        <v>1</v>
      </c>
    </row>
    <row r="8" spans="1:20" s="25" customFormat="1" ht="15.75">
      <c r="A8" s="20" t="s">
        <v>5</v>
      </c>
      <c r="B8" s="20" t="s">
        <v>16</v>
      </c>
      <c r="C8" s="92">
        <v>424</v>
      </c>
      <c r="D8" s="47">
        <v>375</v>
      </c>
      <c r="E8" s="47"/>
      <c r="F8" s="47"/>
      <c r="G8" s="47">
        <v>414</v>
      </c>
      <c r="H8" s="92">
        <v>429</v>
      </c>
      <c r="I8" s="47">
        <v>405</v>
      </c>
      <c r="J8" s="47"/>
      <c r="K8" s="47">
        <v>353</v>
      </c>
      <c r="L8" s="47"/>
      <c r="M8" s="23">
        <f t="shared" si="0"/>
        <v>2400</v>
      </c>
      <c r="N8" s="20">
        <v>2</v>
      </c>
      <c r="O8" s="20">
        <v>6</v>
      </c>
      <c r="P8" s="23">
        <f>M8-2575</f>
        <v>-175</v>
      </c>
      <c r="Q8" s="20">
        <v>0</v>
      </c>
      <c r="R8" s="24"/>
      <c r="S8" s="24"/>
      <c r="T8" s="24">
        <v>1</v>
      </c>
    </row>
    <row r="9" spans="1:20" s="34" customFormat="1" ht="15.75">
      <c r="A9" s="29" t="s">
        <v>6</v>
      </c>
      <c r="B9" s="29" t="s">
        <v>18</v>
      </c>
      <c r="C9" s="93">
        <v>427</v>
      </c>
      <c r="D9" s="48"/>
      <c r="E9" s="48">
        <v>407</v>
      </c>
      <c r="F9" s="48">
        <v>375</v>
      </c>
      <c r="G9" s="48">
        <v>408</v>
      </c>
      <c r="H9" s="48">
        <v>372</v>
      </c>
      <c r="I9" s="48">
        <v>366</v>
      </c>
      <c r="J9" s="48"/>
      <c r="K9" s="48"/>
      <c r="L9" s="48"/>
      <c r="M9" s="32">
        <f t="shared" si="0"/>
        <v>2355</v>
      </c>
      <c r="N9" s="29">
        <v>1</v>
      </c>
      <c r="O9" s="29">
        <v>7</v>
      </c>
      <c r="P9" s="32">
        <f>M9-2660</f>
        <v>-305</v>
      </c>
      <c r="Q9" s="29">
        <v>0</v>
      </c>
      <c r="R9" s="33"/>
      <c r="S9" s="33"/>
      <c r="T9" s="33">
        <v>1</v>
      </c>
    </row>
    <row r="10" spans="1:20" s="25" customFormat="1" ht="15.75">
      <c r="A10" s="20" t="s">
        <v>7</v>
      </c>
      <c r="B10" s="37" t="s">
        <v>20</v>
      </c>
      <c r="C10" s="92">
        <v>416</v>
      </c>
      <c r="D10" s="47">
        <v>348</v>
      </c>
      <c r="E10" s="47">
        <v>403</v>
      </c>
      <c r="F10" s="47">
        <v>371</v>
      </c>
      <c r="G10" s="92">
        <v>416</v>
      </c>
      <c r="H10" s="92">
        <v>434</v>
      </c>
      <c r="I10" s="47"/>
      <c r="J10" s="47"/>
      <c r="K10" s="47"/>
      <c r="L10" s="47"/>
      <c r="M10" s="23">
        <f t="shared" si="0"/>
        <v>2388</v>
      </c>
      <c r="N10" s="20">
        <v>3</v>
      </c>
      <c r="O10" s="20">
        <v>5</v>
      </c>
      <c r="P10" s="20">
        <v>-126</v>
      </c>
      <c r="Q10" s="20">
        <v>0</v>
      </c>
      <c r="R10" s="24"/>
      <c r="S10" s="24"/>
      <c r="T10" s="24">
        <v>1</v>
      </c>
    </row>
    <row r="11" spans="1:20" s="34" customFormat="1" ht="15.75">
      <c r="A11" s="29" t="s">
        <v>8</v>
      </c>
      <c r="B11" s="29" t="s">
        <v>24</v>
      </c>
      <c r="C11" s="93">
        <v>458</v>
      </c>
      <c r="D11" s="48"/>
      <c r="E11" s="48">
        <v>397</v>
      </c>
      <c r="F11" s="48"/>
      <c r="G11" s="93">
        <v>442</v>
      </c>
      <c r="H11" s="48">
        <v>386</v>
      </c>
      <c r="I11" s="48">
        <v>422</v>
      </c>
      <c r="J11" s="48"/>
      <c r="K11" s="48">
        <v>372</v>
      </c>
      <c r="L11" s="48"/>
      <c r="M11" s="32">
        <f t="shared" si="0"/>
        <v>2477</v>
      </c>
      <c r="N11" s="29">
        <v>2</v>
      </c>
      <c r="O11" s="29">
        <v>6</v>
      </c>
      <c r="P11" s="32">
        <f>M11-2562</f>
        <v>-85</v>
      </c>
      <c r="Q11" s="29">
        <v>0</v>
      </c>
      <c r="R11" s="33"/>
      <c r="S11" s="33"/>
      <c r="T11" s="33">
        <v>1</v>
      </c>
    </row>
    <row r="12" spans="1:20" s="25" customFormat="1" ht="15.75">
      <c r="A12" s="20" t="s">
        <v>9</v>
      </c>
      <c r="B12" s="20" t="s">
        <v>21</v>
      </c>
      <c r="C12" s="47">
        <v>370</v>
      </c>
      <c r="D12" s="47">
        <v>399</v>
      </c>
      <c r="E12" s="47">
        <v>410</v>
      </c>
      <c r="F12" s="47">
        <v>379</v>
      </c>
      <c r="G12" s="92">
        <v>442</v>
      </c>
      <c r="H12" s="47">
        <v>186</v>
      </c>
      <c r="I12" s="47"/>
      <c r="J12" s="47">
        <v>194</v>
      </c>
      <c r="K12" s="47"/>
      <c r="L12" s="47"/>
      <c r="M12" s="23">
        <f t="shared" si="0"/>
        <v>2380</v>
      </c>
      <c r="N12" s="20">
        <v>1</v>
      </c>
      <c r="O12" s="20">
        <v>7</v>
      </c>
      <c r="P12" s="23">
        <v>-165</v>
      </c>
      <c r="Q12" s="20">
        <v>0</v>
      </c>
      <c r="R12" s="24"/>
      <c r="S12" s="24"/>
      <c r="T12" s="24">
        <v>1</v>
      </c>
    </row>
    <row r="13" spans="1:20" s="34" customFormat="1" ht="15.75">
      <c r="A13" s="29" t="s">
        <v>10</v>
      </c>
      <c r="B13" s="29" t="s">
        <v>19</v>
      </c>
      <c r="C13" s="93">
        <v>438</v>
      </c>
      <c r="D13" s="48">
        <v>379</v>
      </c>
      <c r="E13" s="48">
        <v>367</v>
      </c>
      <c r="F13" s="48"/>
      <c r="G13" s="92">
        <v>438</v>
      </c>
      <c r="H13" s="48">
        <v>387</v>
      </c>
      <c r="I13" s="48">
        <v>396</v>
      </c>
      <c r="J13" s="48"/>
      <c r="K13" s="48"/>
      <c r="L13" s="48"/>
      <c r="M13" s="32">
        <f t="shared" si="0"/>
        <v>2405</v>
      </c>
      <c r="N13" s="29">
        <v>2</v>
      </c>
      <c r="O13" s="29">
        <v>6</v>
      </c>
      <c r="P13" s="32">
        <f>M13-2535</f>
        <v>-130</v>
      </c>
      <c r="Q13" s="29">
        <v>0</v>
      </c>
      <c r="R13" s="33"/>
      <c r="S13" s="33"/>
      <c r="T13" s="33">
        <v>1</v>
      </c>
    </row>
    <row r="14" spans="1:20" s="25" customFormat="1" ht="15.75">
      <c r="A14" s="20" t="s">
        <v>11</v>
      </c>
      <c r="B14" s="20" t="s">
        <v>224</v>
      </c>
      <c r="C14" s="92">
        <v>451</v>
      </c>
      <c r="D14" s="47"/>
      <c r="E14" s="47"/>
      <c r="F14" s="47">
        <v>340</v>
      </c>
      <c r="G14" s="47">
        <v>409</v>
      </c>
      <c r="H14" s="47">
        <v>408</v>
      </c>
      <c r="I14" s="92">
        <v>426</v>
      </c>
      <c r="J14" s="47"/>
      <c r="K14" s="47">
        <v>382</v>
      </c>
      <c r="L14" s="47"/>
      <c r="M14" s="23">
        <f t="shared" si="0"/>
        <v>2416</v>
      </c>
      <c r="N14" s="20">
        <v>2</v>
      </c>
      <c r="O14" s="20">
        <v>6</v>
      </c>
      <c r="P14" s="20">
        <v>-167</v>
      </c>
      <c r="Q14" s="20">
        <v>0</v>
      </c>
      <c r="R14" s="24"/>
      <c r="S14" s="24"/>
      <c r="T14" s="24">
        <v>1</v>
      </c>
    </row>
    <row r="15" spans="1:20" s="34" customFormat="1" ht="15.75">
      <c r="A15" s="29" t="s">
        <v>12</v>
      </c>
      <c r="B15" s="29" t="s">
        <v>204</v>
      </c>
      <c r="C15" s="48">
        <v>387</v>
      </c>
      <c r="D15" s="48">
        <v>366</v>
      </c>
      <c r="E15" s="48"/>
      <c r="F15" s="48"/>
      <c r="G15" s="93">
        <v>409</v>
      </c>
      <c r="H15" s="48">
        <v>373</v>
      </c>
      <c r="I15" s="93">
        <v>411</v>
      </c>
      <c r="J15" s="48"/>
      <c r="K15" s="93">
        <v>412</v>
      </c>
      <c r="L15" s="48"/>
      <c r="M15" s="32">
        <f t="shared" si="0"/>
        <v>2358</v>
      </c>
      <c r="N15" s="29">
        <v>3</v>
      </c>
      <c r="O15" s="29">
        <v>5</v>
      </c>
      <c r="P15" s="32">
        <v>-89</v>
      </c>
      <c r="Q15" s="29">
        <v>0</v>
      </c>
      <c r="R15" s="33"/>
      <c r="S15" s="33"/>
      <c r="T15" s="33">
        <v>1</v>
      </c>
    </row>
    <row r="16" spans="1:20" s="25" customFormat="1" ht="15.75">
      <c r="A16" s="20" t="s">
        <v>13</v>
      </c>
      <c r="B16" s="20" t="s">
        <v>217</v>
      </c>
      <c r="C16" s="47">
        <v>400</v>
      </c>
      <c r="D16" s="47">
        <v>417</v>
      </c>
      <c r="E16" s="47"/>
      <c r="F16" s="47">
        <v>364</v>
      </c>
      <c r="G16" s="92">
        <v>460</v>
      </c>
      <c r="H16" s="47">
        <v>417</v>
      </c>
      <c r="I16" s="47"/>
      <c r="J16" s="47"/>
      <c r="K16" s="47">
        <v>388</v>
      </c>
      <c r="L16" s="47"/>
      <c r="M16" s="23">
        <f t="shared" si="0"/>
        <v>2446</v>
      </c>
      <c r="N16" s="20">
        <v>1</v>
      </c>
      <c r="O16" s="20">
        <v>7</v>
      </c>
      <c r="P16" s="23">
        <v>-160</v>
      </c>
      <c r="Q16" s="20">
        <v>0</v>
      </c>
      <c r="R16" s="24"/>
      <c r="S16" s="24"/>
      <c r="T16" s="24">
        <v>1</v>
      </c>
    </row>
    <row r="17" spans="1:20" s="34" customFormat="1" ht="16.5" thickBot="1">
      <c r="A17" s="29" t="s">
        <v>14</v>
      </c>
      <c r="B17" s="29" t="s">
        <v>23</v>
      </c>
      <c r="C17" s="50">
        <v>414</v>
      </c>
      <c r="D17" s="50">
        <v>380</v>
      </c>
      <c r="E17" s="170">
        <v>434</v>
      </c>
      <c r="F17" s="50"/>
      <c r="G17" s="50">
        <v>425</v>
      </c>
      <c r="H17" s="50">
        <v>408</v>
      </c>
      <c r="I17" s="50"/>
      <c r="J17" s="50"/>
      <c r="K17" s="50">
        <v>413</v>
      </c>
      <c r="L17" s="50"/>
      <c r="M17" s="46">
        <f t="shared" si="0"/>
        <v>2474</v>
      </c>
      <c r="N17" s="43">
        <v>1</v>
      </c>
      <c r="O17" s="43">
        <v>7</v>
      </c>
      <c r="P17" s="46">
        <v>-175</v>
      </c>
      <c r="Q17" s="43">
        <v>0</v>
      </c>
      <c r="R17" s="113"/>
      <c r="S17" s="113"/>
      <c r="T17" s="113">
        <v>1</v>
      </c>
    </row>
    <row r="18" spans="3:20" ht="16.5" thickTop="1">
      <c r="C18" s="6">
        <f>SUM(C3:C17)</f>
        <v>6237</v>
      </c>
      <c r="D18" s="6">
        <f aca="true" t="shared" si="1" ref="D18:L18">SUM(D3:D17)</f>
        <v>4226</v>
      </c>
      <c r="E18" s="6">
        <f t="shared" si="1"/>
        <v>3638</v>
      </c>
      <c r="F18" s="6">
        <f t="shared" si="1"/>
        <v>3369</v>
      </c>
      <c r="G18" s="6">
        <f t="shared" si="1"/>
        <v>5845</v>
      </c>
      <c r="H18" s="6">
        <f>SUM(H3:H11)+SUM(H13:H17)</f>
        <v>5256</v>
      </c>
      <c r="I18" s="6">
        <f t="shared" si="1"/>
        <v>3656</v>
      </c>
      <c r="J18" s="6"/>
      <c r="K18" s="6">
        <f t="shared" si="1"/>
        <v>3479</v>
      </c>
      <c r="L18" s="6">
        <f t="shared" si="1"/>
        <v>0</v>
      </c>
      <c r="R18" s="2">
        <f>SUM(R3:R17)</f>
        <v>1</v>
      </c>
      <c r="S18" s="2">
        <f>SUM(S3:S17)</f>
        <v>0</v>
      </c>
      <c r="T18" s="2">
        <f>SUM(T3:T17)</f>
        <v>14</v>
      </c>
    </row>
    <row r="19" spans="2:12" ht="15.75">
      <c r="B19" s="1" t="s">
        <v>249</v>
      </c>
      <c r="C19" s="6">
        <f>COUNT(C3:C17)</f>
        <v>15</v>
      </c>
      <c r="D19" s="6">
        <f aca="true" t="shared" si="2" ref="D19:L19">COUNT(D3:D17)</f>
        <v>11</v>
      </c>
      <c r="E19" s="6">
        <f t="shared" si="2"/>
        <v>9</v>
      </c>
      <c r="F19" s="6">
        <f t="shared" si="2"/>
        <v>9</v>
      </c>
      <c r="G19" s="6">
        <f t="shared" si="2"/>
        <v>14</v>
      </c>
      <c r="H19" s="6">
        <f>COUNT(H3:H11)+COUNT(H13:H17)</f>
        <v>13</v>
      </c>
      <c r="I19" s="6">
        <f t="shared" si="2"/>
        <v>9</v>
      </c>
      <c r="J19" s="6"/>
      <c r="K19" s="6">
        <f t="shared" si="2"/>
        <v>9</v>
      </c>
      <c r="L19" s="6">
        <f t="shared" si="2"/>
        <v>0</v>
      </c>
    </row>
    <row r="20" spans="2:20" ht="31.5">
      <c r="B20" s="12" t="s">
        <v>129</v>
      </c>
      <c r="C20" s="17">
        <f>AVERAGE(C3:C17)</f>
        <v>415.8</v>
      </c>
      <c r="D20" s="17">
        <f aca="true" t="shared" si="3" ref="D20:K20">AVERAGE(D3:D17)</f>
        <v>384.1818181818182</v>
      </c>
      <c r="E20" s="17">
        <f t="shared" si="3"/>
        <v>404.22222222222223</v>
      </c>
      <c r="F20" s="17">
        <f t="shared" si="3"/>
        <v>374.3333333333333</v>
      </c>
      <c r="G20" s="17">
        <f t="shared" si="3"/>
        <v>417.5</v>
      </c>
      <c r="H20" s="17">
        <f>H18/H19</f>
        <v>404.3076923076923</v>
      </c>
      <c r="I20" s="17">
        <f t="shared" si="3"/>
        <v>406.22222222222223</v>
      </c>
      <c r="J20" s="17"/>
      <c r="K20" s="17">
        <f t="shared" si="3"/>
        <v>386.55555555555554</v>
      </c>
      <c r="L20" s="17"/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S20" s="105" t="s">
        <v>128</v>
      </c>
      <c r="T20" s="105" t="s">
        <v>247</v>
      </c>
    </row>
    <row r="21" spans="13:20" ht="15.75">
      <c r="M21" s="6">
        <f>SUM(M3:M17)</f>
        <v>36086</v>
      </c>
      <c r="N21" s="1">
        <f>SUM(N3:N17)</f>
        <v>30</v>
      </c>
      <c r="O21" s="1">
        <f>SUM(O3:O17)</f>
        <v>90</v>
      </c>
      <c r="P21" s="1">
        <f>SUM(P3:P17)</f>
        <v>-2158</v>
      </c>
      <c r="Q21" s="1">
        <f>SUM(Q3:Q17)</f>
        <v>2</v>
      </c>
      <c r="S21" s="2">
        <f>N21-O21</f>
        <v>-60</v>
      </c>
      <c r="T21" s="2">
        <f>SUM(R18:T18)</f>
        <v>15</v>
      </c>
    </row>
    <row r="23" spans="3:14" ht="15.75">
      <c r="C23" s="270" t="s">
        <v>40</v>
      </c>
      <c r="D23" s="270"/>
      <c r="M23" s="1" t="s">
        <v>130</v>
      </c>
      <c r="N23" s="19">
        <f>M21/T21</f>
        <v>2405.733333333333</v>
      </c>
    </row>
    <row r="24" spans="3:14" ht="15.75">
      <c r="C24" s="268" t="s">
        <v>134</v>
      </c>
      <c r="D24" s="268"/>
      <c r="M24" s="1" t="s">
        <v>260</v>
      </c>
      <c r="N24" s="6">
        <f>M4+M7+M9+M11+M13+M15+M17+M30+M32+M34+M36+M38+M39+M41+M43</f>
        <v>35957</v>
      </c>
    </row>
    <row r="25" spans="3:12" ht="15.75">
      <c r="C25" s="269" t="s">
        <v>135</v>
      </c>
      <c r="D25" s="269"/>
      <c r="I25" s="262" t="s">
        <v>154</v>
      </c>
      <c r="J25" s="262"/>
      <c r="K25" s="12" t="s">
        <v>155</v>
      </c>
      <c r="L25" s="14" t="s">
        <v>128</v>
      </c>
    </row>
    <row r="26" spans="9:12" ht="15.75">
      <c r="I26" s="1">
        <f>N21+N45</f>
        <v>53</v>
      </c>
      <c r="J26" s="1">
        <f>O21+O45</f>
        <v>187</v>
      </c>
      <c r="K26" s="1">
        <f>Q21+Q45</f>
        <v>2</v>
      </c>
      <c r="L26" s="1">
        <f>I26-J26</f>
        <v>-134</v>
      </c>
    </row>
    <row r="27" spans="1:6" ht="15.75">
      <c r="A27" s="73" t="s">
        <v>144</v>
      </c>
      <c r="B27" s="74"/>
      <c r="C27" s="74" t="s">
        <v>150</v>
      </c>
      <c r="D27" s="74" t="s">
        <v>145</v>
      </c>
      <c r="E27" s="266" t="s">
        <v>143</v>
      </c>
      <c r="F27" s="266"/>
    </row>
    <row r="28" spans="6:8" ht="15.75">
      <c r="F28" s="56"/>
      <c r="G28" s="56"/>
      <c r="H28" s="56"/>
    </row>
    <row r="29" spans="2:20" ht="44.25" customHeight="1" thickBot="1">
      <c r="B29" s="3" t="s">
        <v>25</v>
      </c>
      <c r="C29" s="9" t="s">
        <v>88</v>
      </c>
      <c r="D29" s="9" t="s">
        <v>89</v>
      </c>
      <c r="E29" s="9" t="s">
        <v>90</v>
      </c>
      <c r="F29" s="9" t="s">
        <v>119</v>
      </c>
      <c r="G29" s="9" t="s">
        <v>207</v>
      </c>
      <c r="H29" s="9" t="s">
        <v>105</v>
      </c>
      <c r="I29" s="9" t="s">
        <v>104</v>
      </c>
      <c r="J29" s="9" t="s">
        <v>131</v>
      </c>
      <c r="K29" s="9" t="s">
        <v>202</v>
      </c>
      <c r="L29" s="9" t="s">
        <v>187</v>
      </c>
      <c r="M29" s="12" t="s">
        <v>30</v>
      </c>
      <c r="N29" s="12" t="s">
        <v>22</v>
      </c>
      <c r="O29" s="12" t="s">
        <v>29</v>
      </c>
      <c r="P29" s="12" t="s">
        <v>31</v>
      </c>
      <c r="Q29" s="11" t="s">
        <v>116</v>
      </c>
      <c r="R29" s="2" t="s">
        <v>191</v>
      </c>
      <c r="S29" s="2" t="s">
        <v>192</v>
      </c>
      <c r="T29" s="2" t="s">
        <v>193</v>
      </c>
    </row>
    <row r="30" spans="1:20" s="158" customFormat="1" ht="15.75">
      <c r="A30" s="154" t="s">
        <v>221</v>
      </c>
      <c r="B30" s="154" t="s">
        <v>214</v>
      </c>
      <c r="C30" s="181">
        <v>413</v>
      </c>
      <c r="D30" s="163"/>
      <c r="E30" s="163"/>
      <c r="F30" s="163">
        <v>355</v>
      </c>
      <c r="G30" s="163">
        <v>404</v>
      </c>
      <c r="H30" s="181">
        <v>437</v>
      </c>
      <c r="I30" s="163">
        <v>364</v>
      </c>
      <c r="J30" s="163"/>
      <c r="K30" s="163">
        <v>365</v>
      </c>
      <c r="L30" s="155"/>
      <c r="M30" s="154">
        <f aca="true" t="shared" si="4" ref="M30:M44">SUM(C30:L30)</f>
        <v>2338</v>
      </c>
      <c r="N30" s="154">
        <v>2</v>
      </c>
      <c r="O30" s="154">
        <v>6</v>
      </c>
      <c r="P30" s="154">
        <f>M30-2503</f>
        <v>-165</v>
      </c>
      <c r="Q30" s="154">
        <v>0</v>
      </c>
      <c r="T30" s="158">
        <v>1</v>
      </c>
    </row>
    <row r="31" spans="1:20" s="148" customFormat="1" ht="15.75">
      <c r="A31" s="144" t="s">
        <v>222</v>
      </c>
      <c r="B31" s="144" t="s">
        <v>19</v>
      </c>
      <c r="C31" s="145">
        <v>383</v>
      </c>
      <c r="D31" s="145">
        <v>382</v>
      </c>
      <c r="E31" s="185">
        <v>423</v>
      </c>
      <c r="F31" s="145">
        <v>376</v>
      </c>
      <c r="G31" s="185">
        <v>428</v>
      </c>
      <c r="H31" s="145"/>
      <c r="I31" s="145"/>
      <c r="J31" s="145"/>
      <c r="K31" s="145">
        <v>385</v>
      </c>
      <c r="L31" s="145"/>
      <c r="M31" s="144">
        <f t="shared" si="4"/>
        <v>2377</v>
      </c>
      <c r="N31" s="144">
        <v>2</v>
      </c>
      <c r="O31" s="144">
        <v>6</v>
      </c>
      <c r="P31" s="144">
        <v>-116</v>
      </c>
      <c r="Q31" s="144">
        <v>0</v>
      </c>
      <c r="T31" s="148">
        <v>1</v>
      </c>
    </row>
    <row r="32" spans="1:20" s="158" customFormat="1" ht="15.75">
      <c r="A32" s="154" t="s">
        <v>156</v>
      </c>
      <c r="B32" s="169" t="s">
        <v>21</v>
      </c>
      <c r="C32" s="155">
        <v>374</v>
      </c>
      <c r="D32" s="155">
        <v>409</v>
      </c>
      <c r="E32" s="155"/>
      <c r="F32" s="155">
        <v>376</v>
      </c>
      <c r="G32" s="155">
        <v>374</v>
      </c>
      <c r="H32" s="155"/>
      <c r="I32" s="155"/>
      <c r="J32" s="155">
        <v>406</v>
      </c>
      <c r="K32" s="155">
        <v>352</v>
      </c>
      <c r="L32" s="155"/>
      <c r="M32" s="154">
        <f t="shared" si="4"/>
        <v>2291</v>
      </c>
      <c r="N32" s="154">
        <v>0</v>
      </c>
      <c r="O32" s="154">
        <v>8</v>
      </c>
      <c r="P32" s="154">
        <v>-339</v>
      </c>
      <c r="Q32" s="154">
        <v>0</v>
      </c>
      <c r="T32" s="158">
        <v>1</v>
      </c>
    </row>
    <row r="33" spans="1:20" s="148" customFormat="1" ht="15.75">
      <c r="A33" s="144" t="s">
        <v>157</v>
      </c>
      <c r="B33" s="189" t="s">
        <v>24</v>
      </c>
      <c r="C33" s="145">
        <v>385</v>
      </c>
      <c r="D33" s="145">
        <v>386</v>
      </c>
      <c r="E33" s="145">
        <v>379</v>
      </c>
      <c r="F33" s="145">
        <v>349</v>
      </c>
      <c r="G33" s="185">
        <v>433</v>
      </c>
      <c r="H33" s="145">
        <v>359</v>
      </c>
      <c r="I33" s="145"/>
      <c r="J33" s="145"/>
      <c r="K33" s="145"/>
      <c r="L33" s="145"/>
      <c r="M33" s="144">
        <f t="shared" si="4"/>
        <v>2291</v>
      </c>
      <c r="N33" s="144">
        <v>1</v>
      </c>
      <c r="O33" s="144">
        <v>7</v>
      </c>
      <c r="P33" s="144">
        <v>-271</v>
      </c>
      <c r="Q33" s="144">
        <v>0</v>
      </c>
      <c r="T33" s="148">
        <v>1</v>
      </c>
    </row>
    <row r="34" spans="1:20" s="158" customFormat="1" ht="15.75">
      <c r="A34" s="154" t="s">
        <v>158</v>
      </c>
      <c r="B34" s="154" t="s">
        <v>20</v>
      </c>
      <c r="C34" s="187">
        <v>469</v>
      </c>
      <c r="D34" s="155">
        <v>390</v>
      </c>
      <c r="E34" s="155">
        <v>375</v>
      </c>
      <c r="F34" s="155"/>
      <c r="G34" s="187">
        <v>416</v>
      </c>
      <c r="H34" s="155">
        <v>396</v>
      </c>
      <c r="I34" s="155"/>
      <c r="J34" s="155">
        <v>388</v>
      </c>
      <c r="K34" s="155"/>
      <c r="L34" s="155"/>
      <c r="M34" s="154">
        <f t="shared" si="4"/>
        <v>2434</v>
      </c>
      <c r="N34" s="154">
        <v>2</v>
      </c>
      <c r="O34" s="154">
        <v>6</v>
      </c>
      <c r="P34" s="154">
        <f>M34-2514</f>
        <v>-80</v>
      </c>
      <c r="Q34" s="154">
        <v>0</v>
      </c>
      <c r="T34" s="158">
        <v>1</v>
      </c>
    </row>
    <row r="35" spans="1:20" s="148" customFormat="1" ht="15.75">
      <c r="A35" s="144" t="s">
        <v>159</v>
      </c>
      <c r="B35" s="144" t="s">
        <v>18</v>
      </c>
      <c r="C35" s="185">
        <v>410</v>
      </c>
      <c r="D35" s="145">
        <v>389</v>
      </c>
      <c r="E35" s="145"/>
      <c r="F35" s="145">
        <v>376</v>
      </c>
      <c r="G35" s="145">
        <v>409</v>
      </c>
      <c r="H35" s="185">
        <v>412</v>
      </c>
      <c r="I35" s="145"/>
      <c r="J35" s="145"/>
      <c r="K35" s="145">
        <v>370</v>
      </c>
      <c r="L35" s="145"/>
      <c r="M35" s="144">
        <f t="shared" si="4"/>
        <v>2366</v>
      </c>
      <c r="N35" s="144">
        <v>2</v>
      </c>
      <c r="O35" s="144">
        <v>6</v>
      </c>
      <c r="P35" s="144">
        <v>-247</v>
      </c>
      <c r="Q35" s="144">
        <v>0</v>
      </c>
      <c r="T35" s="148">
        <v>1</v>
      </c>
    </row>
    <row r="36" spans="1:20" s="158" customFormat="1" ht="15.75">
      <c r="A36" s="154" t="s">
        <v>160</v>
      </c>
      <c r="B36" s="154" t="s">
        <v>216</v>
      </c>
      <c r="C36" s="155">
        <v>402</v>
      </c>
      <c r="D36" s="187">
        <v>433</v>
      </c>
      <c r="E36" s="155">
        <v>404</v>
      </c>
      <c r="F36" s="155"/>
      <c r="G36" s="187">
        <v>418</v>
      </c>
      <c r="H36" s="155">
        <v>393</v>
      </c>
      <c r="I36" s="155"/>
      <c r="J36" s="155">
        <v>397</v>
      </c>
      <c r="K36" s="155"/>
      <c r="L36" s="155"/>
      <c r="M36" s="154">
        <f t="shared" si="4"/>
        <v>2447</v>
      </c>
      <c r="N36" s="154">
        <v>2</v>
      </c>
      <c r="O36" s="154">
        <v>6</v>
      </c>
      <c r="P36" s="154">
        <v>-119</v>
      </c>
      <c r="Q36" s="154">
        <v>0</v>
      </c>
      <c r="T36" s="158">
        <v>1</v>
      </c>
    </row>
    <row r="37" spans="1:20" s="148" customFormat="1" ht="15.75">
      <c r="A37" s="144" t="s">
        <v>161</v>
      </c>
      <c r="B37" s="144" t="s">
        <v>223</v>
      </c>
      <c r="C37" s="145">
        <v>412</v>
      </c>
      <c r="D37" s="145">
        <v>349</v>
      </c>
      <c r="E37" s="145">
        <v>396</v>
      </c>
      <c r="F37" s="145"/>
      <c r="G37" s="185">
        <v>416</v>
      </c>
      <c r="H37" s="145">
        <v>399</v>
      </c>
      <c r="I37" s="145"/>
      <c r="J37" s="145">
        <v>411</v>
      </c>
      <c r="K37" s="145"/>
      <c r="L37" s="145"/>
      <c r="M37" s="144">
        <f t="shared" si="4"/>
        <v>2383</v>
      </c>
      <c r="N37" s="144">
        <v>1</v>
      </c>
      <c r="O37" s="144">
        <v>7</v>
      </c>
      <c r="P37" s="144">
        <f>M37-2589</f>
        <v>-206</v>
      </c>
      <c r="Q37" s="144">
        <v>0</v>
      </c>
      <c r="T37" s="148">
        <v>1</v>
      </c>
    </row>
    <row r="38" spans="1:20" s="158" customFormat="1" ht="15.75">
      <c r="A38" s="154" t="s">
        <v>162</v>
      </c>
      <c r="B38" s="154" t="s">
        <v>26</v>
      </c>
      <c r="C38" s="187">
        <v>463</v>
      </c>
      <c r="D38" s="155"/>
      <c r="E38" s="155"/>
      <c r="F38" s="155">
        <v>385</v>
      </c>
      <c r="G38" s="155">
        <v>386</v>
      </c>
      <c r="H38" s="155"/>
      <c r="I38" s="155">
        <v>393</v>
      </c>
      <c r="J38" s="187">
        <v>412</v>
      </c>
      <c r="K38" s="155">
        <v>386</v>
      </c>
      <c r="L38" s="155"/>
      <c r="M38" s="154">
        <f t="shared" si="4"/>
        <v>2425</v>
      </c>
      <c r="N38" s="154">
        <v>2</v>
      </c>
      <c r="O38" s="154">
        <v>6</v>
      </c>
      <c r="P38" s="154">
        <f>M38-2490</f>
        <v>-65</v>
      </c>
      <c r="Q38" s="154">
        <v>0</v>
      </c>
      <c r="T38" s="158">
        <v>1</v>
      </c>
    </row>
    <row r="39" spans="1:20" s="158" customFormat="1" ht="15.75">
      <c r="A39" s="154" t="s">
        <v>163</v>
      </c>
      <c r="B39" s="154" t="s">
        <v>15</v>
      </c>
      <c r="C39" s="222">
        <v>409</v>
      </c>
      <c r="D39" s="155">
        <v>384</v>
      </c>
      <c r="E39" s="155">
        <v>384</v>
      </c>
      <c r="F39" s="155">
        <v>392</v>
      </c>
      <c r="G39" s="155">
        <v>384</v>
      </c>
      <c r="H39" s="187">
        <v>434</v>
      </c>
      <c r="I39" s="155"/>
      <c r="J39" s="155"/>
      <c r="K39" s="155"/>
      <c r="L39" s="155"/>
      <c r="M39" s="154">
        <f t="shared" si="4"/>
        <v>2387</v>
      </c>
      <c r="N39" s="154">
        <v>2</v>
      </c>
      <c r="O39" s="154">
        <v>6</v>
      </c>
      <c r="P39" s="154">
        <f>M39-2520</f>
        <v>-133</v>
      </c>
      <c r="Q39" s="154">
        <v>0</v>
      </c>
      <c r="T39" s="158">
        <v>1</v>
      </c>
    </row>
    <row r="40" spans="1:20" s="148" customFormat="1" ht="15.75">
      <c r="A40" s="144" t="s">
        <v>164</v>
      </c>
      <c r="B40" s="144" t="s">
        <v>17</v>
      </c>
      <c r="C40" s="145">
        <v>373</v>
      </c>
      <c r="D40" s="145">
        <v>383</v>
      </c>
      <c r="E40" s="145">
        <v>399</v>
      </c>
      <c r="F40" s="145">
        <v>384</v>
      </c>
      <c r="G40" s="145"/>
      <c r="H40" s="145">
        <v>403</v>
      </c>
      <c r="I40" s="145"/>
      <c r="J40" s="145"/>
      <c r="K40" s="145">
        <v>378</v>
      </c>
      <c r="L40" s="144"/>
      <c r="M40" s="144">
        <f t="shared" si="4"/>
        <v>2320</v>
      </c>
      <c r="N40" s="144">
        <v>0</v>
      </c>
      <c r="O40" s="144">
        <v>8</v>
      </c>
      <c r="P40" s="144">
        <v>-272</v>
      </c>
      <c r="Q40" s="144">
        <v>0</v>
      </c>
      <c r="T40" s="148">
        <v>1</v>
      </c>
    </row>
    <row r="41" spans="1:20" s="158" customFormat="1" ht="15.75">
      <c r="A41" s="154" t="s">
        <v>165</v>
      </c>
      <c r="B41" s="154" t="s">
        <v>218</v>
      </c>
      <c r="C41" s="155">
        <v>382</v>
      </c>
      <c r="D41" s="155">
        <v>360</v>
      </c>
      <c r="E41" s="222">
        <v>428</v>
      </c>
      <c r="F41" s="155"/>
      <c r="G41" s="222">
        <v>387</v>
      </c>
      <c r="H41" s="155">
        <v>365</v>
      </c>
      <c r="I41" s="155">
        <v>381</v>
      </c>
      <c r="J41" s="155"/>
      <c r="K41" s="155"/>
      <c r="L41" s="154"/>
      <c r="M41" s="154">
        <f t="shared" si="4"/>
        <v>2303</v>
      </c>
      <c r="N41" s="154">
        <v>2</v>
      </c>
      <c r="O41" s="154">
        <v>6</v>
      </c>
      <c r="P41" s="154">
        <v>-103</v>
      </c>
      <c r="Q41" s="154">
        <v>0</v>
      </c>
      <c r="T41" s="158">
        <v>1</v>
      </c>
    </row>
    <row r="42" spans="1:20" s="148" customFormat="1" ht="15.75">
      <c r="A42" s="144" t="s">
        <v>166</v>
      </c>
      <c r="B42" s="144" t="s">
        <v>23</v>
      </c>
      <c r="C42" s="145">
        <v>411</v>
      </c>
      <c r="D42" s="145"/>
      <c r="E42" s="145"/>
      <c r="F42" s="145">
        <v>374</v>
      </c>
      <c r="G42" s="223">
        <v>417</v>
      </c>
      <c r="H42" s="145"/>
      <c r="I42" s="145">
        <v>383</v>
      </c>
      <c r="J42" s="145">
        <v>388</v>
      </c>
      <c r="K42" s="145">
        <v>382</v>
      </c>
      <c r="L42" s="144"/>
      <c r="M42" s="144">
        <f t="shared" si="4"/>
        <v>2355</v>
      </c>
      <c r="N42" s="144">
        <v>1</v>
      </c>
      <c r="O42" s="144">
        <v>7</v>
      </c>
      <c r="P42" s="144">
        <v>-242</v>
      </c>
      <c r="Q42" s="144">
        <v>0</v>
      </c>
      <c r="T42" s="148">
        <v>1</v>
      </c>
    </row>
    <row r="43" spans="1:20" s="158" customFormat="1" ht="15.75">
      <c r="A43" s="154" t="s">
        <v>167</v>
      </c>
      <c r="B43" s="154" t="s">
        <v>217</v>
      </c>
      <c r="C43" s="155">
        <v>392</v>
      </c>
      <c r="D43" s="155">
        <v>395</v>
      </c>
      <c r="E43" s="155">
        <v>378</v>
      </c>
      <c r="F43" s="155"/>
      <c r="G43" s="222">
        <v>437</v>
      </c>
      <c r="H43" s="155">
        <v>402</v>
      </c>
      <c r="I43" s="155"/>
      <c r="J43" s="155">
        <v>398</v>
      </c>
      <c r="K43" s="155"/>
      <c r="L43" s="154"/>
      <c r="M43" s="154">
        <f t="shared" si="4"/>
        <v>2402</v>
      </c>
      <c r="N43" s="154">
        <v>1</v>
      </c>
      <c r="O43" s="154">
        <v>7</v>
      </c>
      <c r="P43" s="154">
        <v>-71</v>
      </c>
      <c r="Q43" s="154">
        <v>0</v>
      </c>
      <c r="T43" s="158">
        <v>1</v>
      </c>
    </row>
    <row r="44" spans="1:20" s="148" customFormat="1" ht="16.5" thickBot="1">
      <c r="A44" s="144" t="s">
        <v>168</v>
      </c>
      <c r="B44" s="144" t="s">
        <v>204</v>
      </c>
      <c r="C44" s="145"/>
      <c r="D44" s="223">
        <v>430</v>
      </c>
      <c r="E44" s="145"/>
      <c r="F44" s="145">
        <v>403</v>
      </c>
      <c r="G44" s="145">
        <v>395</v>
      </c>
      <c r="H44" s="223">
        <v>413</v>
      </c>
      <c r="I44" s="145"/>
      <c r="J44" s="145">
        <v>379</v>
      </c>
      <c r="K44" s="223">
        <v>409</v>
      </c>
      <c r="L44" s="144"/>
      <c r="M44" s="151">
        <f t="shared" si="4"/>
        <v>2429</v>
      </c>
      <c r="N44" s="151">
        <v>3</v>
      </c>
      <c r="O44" s="151">
        <v>5</v>
      </c>
      <c r="P44" s="151">
        <v>-11</v>
      </c>
      <c r="Q44" s="151">
        <v>0</v>
      </c>
      <c r="R44" s="180"/>
      <c r="S44" s="180"/>
      <c r="T44" s="180">
        <v>1</v>
      </c>
    </row>
    <row r="45" spans="3:20" ht="16.5" thickTop="1">
      <c r="C45" s="79">
        <f aca="true" t="shared" si="5" ref="C45:L45">SUM(C30:C44)</f>
        <v>5678</v>
      </c>
      <c r="D45" s="79">
        <f t="shared" si="5"/>
        <v>4690</v>
      </c>
      <c r="E45" s="79">
        <f t="shared" si="5"/>
        <v>3566</v>
      </c>
      <c r="F45" s="79">
        <f t="shared" si="5"/>
        <v>3770</v>
      </c>
      <c r="G45" s="79">
        <f t="shared" si="5"/>
        <v>5704</v>
      </c>
      <c r="H45" s="79">
        <f t="shared" si="5"/>
        <v>4413</v>
      </c>
      <c r="I45" s="79">
        <f t="shared" si="5"/>
        <v>1521</v>
      </c>
      <c r="J45" s="79">
        <f t="shared" si="5"/>
        <v>3179</v>
      </c>
      <c r="K45" s="79">
        <f t="shared" si="5"/>
        <v>3027</v>
      </c>
      <c r="L45" s="79">
        <f t="shared" si="5"/>
        <v>0</v>
      </c>
      <c r="N45" s="1">
        <f>SUM(N30:N44)</f>
        <v>23</v>
      </c>
      <c r="O45" s="1">
        <f>SUM(O30:O44)</f>
        <v>97</v>
      </c>
      <c r="P45" s="1">
        <f>SUM(P30:P44)</f>
        <v>-2440</v>
      </c>
      <c r="Q45" s="1">
        <f>SUM(Q30:Q44)</f>
        <v>0</v>
      </c>
      <c r="R45" s="1">
        <f>SUM(R30:R44)+R18</f>
        <v>1</v>
      </c>
      <c r="S45" s="1">
        <f>SUM(S30:S44)+S18</f>
        <v>0</v>
      </c>
      <c r="T45" s="1">
        <f>SUM(T30:T44)+T18</f>
        <v>29</v>
      </c>
    </row>
    <row r="46" spans="2:12" ht="31.5">
      <c r="B46" s="83" t="s">
        <v>279</v>
      </c>
      <c r="C46" s="1">
        <f aca="true" t="shared" si="6" ref="C46:L46">COUNT(C30:C44)</f>
        <v>14</v>
      </c>
      <c r="D46" s="1">
        <f t="shared" si="6"/>
        <v>12</v>
      </c>
      <c r="E46" s="1">
        <f t="shared" si="6"/>
        <v>9</v>
      </c>
      <c r="F46" s="1">
        <f t="shared" si="6"/>
        <v>10</v>
      </c>
      <c r="G46" s="1">
        <f t="shared" si="6"/>
        <v>14</v>
      </c>
      <c r="H46" s="1">
        <f t="shared" si="6"/>
        <v>11</v>
      </c>
      <c r="I46" s="1">
        <f t="shared" si="6"/>
        <v>4</v>
      </c>
      <c r="J46" s="1">
        <f t="shared" si="6"/>
        <v>8</v>
      </c>
      <c r="K46" s="1">
        <f t="shared" si="6"/>
        <v>8</v>
      </c>
      <c r="L46" s="1">
        <f t="shared" si="6"/>
        <v>0</v>
      </c>
    </row>
    <row r="47" spans="2:20" ht="31.5">
      <c r="B47" s="12" t="s">
        <v>275</v>
      </c>
      <c r="C47" s="80">
        <f>C45/C46</f>
        <v>405.57142857142856</v>
      </c>
      <c r="D47" s="80">
        <f>D45/D46</f>
        <v>390.8333333333333</v>
      </c>
      <c r="E47" s="80">
        <f>E45/E46</f>
        <v>396.22222222222223</v>
      </c>
      <c r="F47" s="80">
        <f aca="true" t="shared" si="7" ref="F47:K47">F45/F46</f>
        <v>377</v>
      </c>
      <c r="G47" s="80">
        <f t="shared" si="7"/>
        <v>407.42857142857144</v>
      </c>
      <c r="H47" s="80">
        <f t="shared" si="7"/>
        <v>401.1818181818182</v>
      </c>
      <c r="I47" s="80">
        <f t="shared" si="7"/>
        <v>380.25</v>
      </c>
      <c r="J47" s="80">
        <f t="shared" si="7"/>
        <v>397.375</v>
      </c>
      <c r="K47" s="80">
        <f t="shared" si="7"/>
        <v>378.375</v>
      </c>
      <c r="L47" s="80"/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3:20" ht="15.75">
      <c r="M48" s="6">
        <f>SUM(M30:M44)+M21</f>
        <v>71634</v>
      </c>
      <c r="N48" s="6">
        <f>SUM(N30:N44)+N21</f>
        <v>53</v>
      </c>
      <c r="O48" s="6">
        <f>SUM(O30:O44)+O21</f>
        <v>187</v>
      </c>
      <c r="P48" s="6">
        <f>SUM(P30:P44)+P21</f>
        <v>-4598</v>
      </c>
      <c r="Q48" s="6">
        <f>SUM(Q30:Q44)+Q21</f>
        <v>2</v>
      </c>
      <c r="S48" s="2">
        <f>N48-O48</f>
        <v>-134</v>
      </c>
      <c r="T48" s="2">
        <f>SUM(R45:T45)</f>
        <v>30</v>
      </c>
    </row>
    <row r="50" spans="13:14" ht="15.75">
      <c r="M50" s="1" t="s">
        <v>130</v>
      </c>
      <c r="N50" s="19">
        <f>M48/T48</f>
        <v>2387.8</v>
      </c>
    </row>
  </sheetData>
  <sheetProtection/>
  <mergeCells count="9">
    <mergeCell ref="N47:O47"/>
    <mergeCell ref="E27:F27"/>
    <mergeCell ref="N1:O1"/>
    <mergeCell ref="C23:D23"/>
    <mergeCell ref="N20:O20"/>
    <mergeCell ref="C24:D24"/>
    <mergeCell ref="C25:D25"/>
    <mergeCell ref="C1:L1"/>
    <mergeCell ref="I25:J25"/>
  </mergeCells>
  <printOptions/>
  <pageMargins left="0.75" right="0.75" top="1" bottom="1" header="0.5" footer="0.5"/>
  <pageSetup horizontalDpi="600" verticalDpi="600" orientation="portrait" paperSize="9" r:id="rId1"/>
  <ignoredErrors>
    <ignoredError sqref="H18:H20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AA50"/>
  <sheetViews>
    <sheetView zoomScale="90" zoomScaleNormal="90" zoomScalePageLayoutView="0" workbookViewId="0" topLeftCell="A28">
      <selection activeCell="O37" sqref="O37"/>
    </sheetView>
  </sheetViews>
  <sheetFormatPr defaultColWidth="9.00390625" defaultRowHeight="12.75"/>
  <cols>
    <col min="1" max="1" width="11.25390625" style="4" bestFit="1" customWidth="1"/>
    <col min="2" max="2" width="14.75390625" style="4" bestFit="1" customWidth="1"/>
    <col min="3" max="3" width="12.375" style="4" customWidth="1"/>
    <col min="4" max="4" width="10.375" style="4" bestFit="1" customWidth="1"/>
    <col min="5" max="5" width="6.75390625" style="4" bestFit="1" customWidth="1"/>
    <col min="6" max="7" width="7.25390625" style="4" bestFit="1" customWidth="1"/>
    <col min="8" max="8" width="9.125" style="4" customWidth="1"/>
    <col min="9" max="9" width="6.75390625" style="4" bestFit="1" customWidth="1"/>
    <col min="10" max="10" width="6.875" style="4" bestFit="1" customWidth="1"/>
    <col min="11" max="11" width="6.00390625" style="4" bestFit="1" customWidth="1"/>
    <col min="12" max="12" width="7.125" style="4" bestFit="1" customWidth="1"/>
    <col min="13" max="13" width="8.125" style="4" bestFit="1" customWidth="1"/>
    <col min="14" max="14" width="9.375" style="4" customWidth="1"/>
    <col min="15" max="15" width="9.75390625" style="4" customWidth="1"/>
    <col min="16" max="16" width="9.00390625" style="4" bestFit="1" customWidth="1"/>
    <col min="17" max="17" width="9.25390625" style="4" bestFit="1" customWidth="1"/>
    <col min="18" max="18" width="11.125" style="4" customWidth="1"/>
    <col min="19" max="19" width="12.00390625" style="4" customWidth="1"/>
    <col min="20" max="20" width="18.25390625" style="1" bestFit="1" customWidth="1"/>
    <col min="21" max="21" width="11.25390625" style="1" customWidth="1"/>
    <col min="22" max="22" width="10.375" style="1" customWidth="1"/>
    <col min="23" max="23" width="13.375" style="1" customWidth="1"/>
    <col min="24" max="24" width="11.875" style="1" customWidth="1"/>
    <col min="26" max="26" width="12.00390625" style="0" customWidth="1"/>
    <col min="27" max="27" width="10.75390625" style="0" customWidth="1"/>
  </cols>
  <sheetData>
    <row r="1" spans="3:27" ht="15.75">
      <c r="C1" s="273" t="s">
        <v>27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U1" s="265" t="s">
        <v>28</v>
      </c>
      <c r="V1" s="265"/>
      <c r="Y1" s="2"/>
      <c r="Z1" s="2"/>
      <c r="AA1" s="2"/>
    </row>
    <row r="2" spans="2:27" ht="35.25" customHeight="1" thickBot="1">
      <c r="B2" s="5" t="s">
        <v>25</v>
      </c>
      <c r="C2" s="9" t="s">
        <v>226</v>
      </c>
      <c r="D2" s="9" t="s">
        <v>227</v>
      </c>
      <c r="E2" s="9" t="s">
        <v>228</v>
      </c>
      <c r="F2" s="9" t="s">
        <v>119</v>
      </c>
      <c r="G2" s="9" t="s">
        <v>229</v>
      </c>
      <c r="H2" s="9" t="s">
        <v>240</v>
      </c>
      <c r="I2" s="9" t="s">
        <v>54</v>
      </c>
      <c r="J2" s="9" t="s">
        <v>230</v>
      </c>
      <c r="K2" s="9" t="s">
        <v>231</v>
      </c>
      <c r="L2" s="9" t="s">
        <v>235</v>
      </c>
      <c r="M2" s="9" t="s">
        <v>236</v>
      </c>
      <c r="N2" s="9" t="s">
        <v>237</v>
      </c>
      <c r="O2" s="9" t="s">
        <v>238</v>
      </c>
      <c r="P2" s="9" t="s">
        <v>239</v>
      </c>
      <c r="Q2" s="9" t="s">
        <v>232</v>
      </c>
      <c r="R2" s="9" t="s">
        <v>233</v>
      </c>
      <c r="S2" s="9" t="s">
        <v>234</v>
      </c>
      <c r="T2" s="3" t="s">
        <v>30</v>
      </c>
      <c r="U2" s="3" t="s">
        <v>218</v>
      </c>
      <c r="V2" s="3" t="s">
        <v>29</v>
      </c>
      <c r="W2" s="3" t="s">
        <v>31</v>
      </c>
      <c r="X2" s="11" t="s">
        <v>116</v>
      </c>
      <c r="Y2" s="2" t="s">
        <v>191</v>
      </c>
      <c r="Z2" s="2" t="s">
        <v>192</v>
      </c>
      <c r="AA2" s="2" t="s">
        <v>193</v>
      </c>
    </row>
    <row r="3" spans="1:27" s="34" customFormat="1" ht="15.75">
      <c r="A3" s="36" t="s">
        <v>0</v>
      </c>
      <c r="B3" s="36" t="s">
        <v>22</v>
      </c>
      <c r="C3" s="52">
        <v>323</v>
      </c>
      <c r="D3" s="48">
        <v>309</v>
      </c>
      <c r="E3" s="48"/>
      <c r="F3" s="52"/>
      <c r="G3" s="52">
        <v>383</v>
      </c>
      <c r="H3" s="52"/>
      <c r="I3" s="52"/>
      <c r="J3" s="52"/>
      <c r="K3" s="52">
        <v>366</v>
      </c>
      <c r="L3" s="52"/>
      <c r="M3" s="52"/>
      <c r="N3" s="52"/>
      <c r="O3" s="97">
        <v>425</v>
      </c>
      <c r="P3" s="97">
        <v>417</v>
      </c>
      <c r="Q3" s="52"/>
      <c r="R3" s="52"/>
      <c r="S3" s="52"/>
      <c r="T3" s="45">
        <f aca="true" t="shared" si="0" ref="T3:T17">SUM(C3:S3)</f>
        <v>2223</v>
      </c>
      <c r="U3" s="29">
        <v>2</v>
      </c>
      <c r="V3" s="29">
        <v>6</v>
      </c>
      <c r="W3" s="29">
        <v>-203</v>
      </c>
      <c r="X3" s="29">
        <v>0</v>
      </c>
      <c r="Y3" s="33"/>
      <c r="Z3" s="33"/>
      <c r="AA3" s="33">
        <v>1</v>
      </c>
    </row>
    <row r="4" spans="1:27" s="25" customFormat="1" ht="15.75">
      <c r="A4" s="38" t="s">
        <v>1</v>
      </c>
      <c r="B4" s="38" t="s">
        <v>215</v>
      </c>
      <c r="C4" s="49">
        <v>158</v>
      </c>
      <c r="D4" s="47"/>
      <c r="E4" s="47">
        <v>354</v>
      </c>
      <c r="F4" s="49"/>
      <c r="G4" s="100">
        <v>363</v>
      </c>
      <c r="H4" s="49"/>
      <c r="I4" s="100">
        <v>232</v>
      </c>
      <c r="J4" s="49"/>
      <c r="K4" s="49"/>
      <c r="L4" s="100">
        <v>187</v>
      </c>
      <c r="M4" s="49"/>
      <c r="N4" s="49"/>
      <c r="O4" s="49">
        <v>169</v>
      </c>
      <c r="P4" s="49">
        <v>361</v>
      </c>
      <c r="Q4" s="49"/>
      <c r="R4" s="49"/>
      <c r="S4" s="49">
        <v>347</v>
      </c>
      <c r="T4" s="40">
        <f t="shared" si="0"/>
        <v>2171</v>
      </c>
      <c r="U4" s="20">
        <v>2</v>
      </c>
      <c r="V4" s="20">
        <v>6</v>
      </c>
      <c r="W4" s="20">
        <v>-54</v>
      </c>
      <c r="X4" s="20">
        <v>0</v>
      </c>
      <c r="Y4" s="24"/>
      <c r="Z4" s="24"/>
      <c r="AA4" s="24">
        <v>1</v>
      </c>
    </row>
    <row r="5" spans="1:27" s="34" customFormat="1" ht="15.75">
      <c r="A5" s="36" t="s">
        <v>2</v>
      </c>
      <c r="B5" s="36" t="s">
        <v>16</v>
      </c>
      <c r="C5" s="52">
        <v>315</v>
      </c>
      <c r="D5" s="48"/>
      <c r="E5" s="48">
        <v>338</v>
      </c>
      <c r="F5" s="52"/>
      <c r="G5" s="52">
        <v>350</v>
      </c>
      <c r="H5" s="52"/>
      <c r="I5" s="52"/>
      <c r="J5" s="52"/>
      <c r="K5" s="52"/>
      <c r="L5" s="52">
        <v>362</v>
      </c>
      <c r="M5" s="52"/>
      <c r="N5" s="52"/>
      <c r="O5" s="52">
        <v>351</v>
      </c>
      <c r="P5" s="52">
        <v>382</v>
      </c>
      <c r="Q5" s="52"/>
      <c r="R5" s="52"/>
      <c r="S5" s="52"/>
      <c r="T5" s="45">
        <f t="shared" si="0"/>
        <v>2098</v>
      </c>
      <c r="U5" s="29">
        <v>0</v>
      </c>
      <c r="V5" s="29">
        <v>8</v>
      </c>
      <c r="W5" s="32">
        <f>T5-2593</f>
        <v>-495</v>
      </c>
      <c r="X5" s="29">
        <v>0</v>
      </c>
      <c r="Y5" s="33"/>
      <c r="Z5" s="33"/>
      <c r="AA5" s="33">
        <v>1</v>
      </c>
    </row>
    <row r="6" spans="1:27" s="25" customFormat="1" ht="15.75">
      <c r="A6" s="38" t="s">
        <v>3</v>
      </c>
      <c r="B6" s="38" t="s">
        <v>18</v>
      </c>
      <c r="C6" s="49">
        <v>341</v>
      </c>
      <c r="D6" s="47"/>
      <c r="E6" s="47">
        <v>187</v>
      </c>
      <c r="F6" s="49"/>
      <c r="G6" s="49">
        <v>349</v>
      </c>
      <c r="H6" s="49"/>
      <c r="I6" s="100">
        <v>399</v>
      </c>
      <c r="J6" s="49"/>
      <c r="K6" s="49"/>
      <c r="L6" s="49">
        <v>384</v>
      </c>
      <c r="M6" s="49"/>
      <c r="N6" s="49"/>
      <c r="O6" s="49">
        <v>156</v>
      </c>
      <c r="P6" s="100">
        <v>394</v>
      </c>
      <c r="Q6" s="49"/>
      <c r="R6" s="49"/>
      <c r="S6" s="49"/>
      <c r="T6" s="40">
        <f t="shared" si="0"/>
        <v>2210</v>
      </c>
      <c r="U6" s="20">
        <v>2</v>
      </c>
      <c r="V6" s="20">
        <v>6</v>
      </c>
      <c r="W6" s="23">
        <v>-177</v>
      </c>
      <c r="X6" s="20">
        <v>0</v>
      </c>
      <c r="Y6" s="24"/>
      <c r="Z6" s="24"/>
      <c r="AA6" s="24">
        <v>1</v>
      </c>
    </row>
    <row r="7" spans="1:27" s="34" customFormat="1" ht="15.75">
      <c r="A7" s="36" t="s">
        <v>4</v>
      </c>
      <c r="B7" s="36" t="s">
        <v>20</v>
      </c>
      <c r="C7" s="52">
        <v>403</v>
      </c>
      <c r="D7" s="48"/>
      <c r="E7" s="48"/>
      <c r="F7" s="52"/>
      <c r="G7" s="52">
        <v>370</v>
      </c>
      <c r="H7" s="52"/>
      <c r="I7" s="52"/>
      <c r="J7" s="52"/>
      <c r="K7" s="52"/>
      <c r="L7" s="52">
        <v>377</v>
      </c>
      <c r="M7" s="52"/>
      <c r="N7" s="52">
        <v>347</v>
      </c>
      <c r="O7" s="97">
        <v>412</v>
      </c>
      <c r="P7" s="97">
        <v>426</v>
      </c>
      <c r="Q7" s="52"/>
      <c r="R7" s="52"/>
      <c r="S7" s="52"/>
      <c r="T7" s="45">
        <f t="shared" si="0"/>
        <v>2335</v>
      </c>
      <c r="U7" s="29">
        <v>2</v>
      </c>
      <c r="V7" s="29">
        <v>6</v>
      </c>
      <c r="W7" s="32">
        <f>T7-2561</f>
        <v>-226</v>
      </c>
      <c r="X7" s="29">
        <v>0</v>
      </c>
      <c r="Y7" s="33"/>
      <c r="Z7" s="33"/>
      <c r="AA7" s="33">
        <v>1</v>
      </c>
    </row>
    <row r="8" spans="1:27" s="25" customFormat="1" ht="15.75">
      <c r="A8" s="38" t="s">
        <v>5</v>
      </c>
      <c r="B8" s="38" t="s">
        <v>24</v>
      </c>
      <c r="C8" s="21"/>
      <c r="D8" s="47"/>
      <c r="E8" s="47"/>
      <c r="F8" s="49"/>
      <c r="G8" s="49">
        <v>377</v>
      </c>
      <c r="H8" s="49"/>
      <c r="I8" s="100">
        <v>445</v>
      </c>
      <c r="J8" s="49"/>
      <c r="K8" s="49"/>
      <c r="L8" s="49">
        <v>382</v>
      </c>
      <c r="M8" s="49"/>
      <c r="N8" s="49"/>
      <c r="O8" s="49">
        <v>376</v>
      </c>
      <c r="P8" s="49">
        <v>359</v>
      </c>
      <c r="Q8" s="49"/>
      <c r="R8" s="100">
        <v>428</v>
      </c>
      <c r="S8" s="49"/>
      <c r="T8" s="40">
        <f t="shared" si="0"/>
        <v>2367</v>
      </c>
      <c r="U8" s="20">
        <v>2</v>
      </c>
      <c r="V8" s="20">
        <v>6</v>
      </c>
      <c r="W8" s="20">
        <v>-64</v>
      </c>
      <c r="X8" s="20">
        <v>0</v>
      </c>
      <c r="Y8" s="24"/>
      <c r="Z8" s="24"/>
      <c r="AA8" s="24">
        <v>1</v>
      </c>
    </row>
    <row r="9" spans="1:27" s="34" customFormat="1" ht="15.75">
      <c r="A9" s="36" t="s">
        <v>6</v>
      </c>
      <c r="B9" s="36" t="s">
        <v>21</v>
      </c>
      <c r="C9" s="52">
        <v>330</v>
      </c>
      <c r="D9" s="48"/>
      <c r="E9" s="48"/>
      <c r="F9" s="52"/>
      <c r="G9" s="52"/>
      <c r="H9" s="52"/>
      <c r="I9" s="97">
        <v>427</v>
      </c>
      <c r="J9" s="52"/>
      <c r="K9" s="52"/>
      <c r="L9" s="52">
        <v>361</v>
      </c>
      <c r="M9" s="52"/>
      <c r="N9" s="52"/>
      <c r="O9" s="52">
        <v>405</v>
      </c>
      <c r="P9" s="52">
        <v>403</v>
      </c>
      <c r="Q9" s="52"/>
      <c r="R9" s="52">
        <v>395</v>
      </c>
      <c r="S9" s="52"/>
      <c r="T9" s="45">
        <f t="shared" si="0"/>
        <v>2321</v>
      </c>
      <c r="U9" s="29">
        <v>1</v>
      </c>
      <c r="V9" s="29">
        <v>7</v>
      </c>
      <c r="W9" s="32">
        <v>-230</v>
      </c>
      <c r="X9" s="29">
        <v>0</v>
      </c>
      <c r="Y9" s="33"/>
      <c r="Z9" s="33"/>
      <c r="AA9" s="33">
        <v>1</v>
      </c>
    </row>
    <row r="10" spans="1:27" s="25" customFormat="1" ht="15.75">
      <c r="A10" s="38" t="s">
        <v>7</v>
      </c>
      <c r="B10" s="38" t="s">
        <v>19</v>
      </c>
      <c r="C10" s="49">
        <v>354</v>
      </c>
      <c r="D10" s="47"/>
      <c r="E10" s="47"/>
      <c r="F10" s="100">
        <v>399</v>
      </c>
      <c r="G10" s="49"/>
      <c r="H10" s="49"/>
      <c r="I10" s="100">
        <v>438</v>
      </c>
      <c r="J10" s="49"/>
      <c r="K10" s="49"/>
      <c r="L10" s="49">
        <v>362</v>
      </c>
      <c r="M10" s="49"/>
      <c r="N10" s="49"/>
      <c r="O10" s="49">
        <v>389</v>
      </c>
      <c r="P10" s="49"/>
      <c r="Q10" s="49"/>
      <c r="R10" s="100">
        <v>405</v>
      </c>
      <c r="S10" s="49"/>
      <c r="T10" s="40">
        <f t="shared" si="0"/>
        <v>2347</v>
      </c>
      <c r="U10" s="20">
        <v>5</v>
      </c>
      <c r="V10" s="20">
        <v>3</v>
      </c>
      <c r="W10" s="23">
        <v>17</v>
      </c>
      <c r="X10" s="20">
        <v>2</v>
      </c>
      <c r="Y10" s="24">
        <v>1</v>
      </c>
      <c r="Z10" s="24"/>
      <c r="AA10" s="24"/>
    </row>
    <row r="11" spans="1:27" s="34" customFormat="1" ht="15.75">
      <c r="A11" s="36" t="s">
        <v>8</v>
      </c>
      <c r="B11" s="30" t="s">
        <v>214</v>
      </c>
      <c r="C11" s="52"/>
      <c r="D11" s="52"/>
      <c r="E11" s="52"/>
      <c r="F11" s="52">
        <v>385</v>
      </c>
      <c r="G11" s="52">
        <v>360</v>
      </c>
      <c r="H11" s="52"/>
      <c r="I11" s="97">
        <v>448</v>
      </c>
      <c r="J11" s="30"/>
      <c r="K11" s="52"/>
      <c r="L11" s="52"/>
      <c r="M11" s="52"/>
      <c r="N11" s="52"/>
      <c r="O11" s="52">
        <v>368</v>
      </c>
      <c r="P11" s="52">
        <v>370</v>
      </c>
      <c r="Q11" s="52"/>
      <c r="R11" s="97">
        <v>426</v>
      </c>
      <c r="S11" s="52"/>
      <c r="T11" s="45">
        <f t="shared" si="0"/>
        <v>2357</v>
      </c>
      <c r="U11" s="29">
        <v>2</v>
      </c>
      <c r="V11" s="29">
        <v>6</v>
      </c>
      <c r="W11" s="29">
        <v>-253</v>
      </c>
      <c r="X11" s="29">
        <v>0</v>
      </c>
      <c r="Y11" s="33"/>
      <c r="Z11" s="33"/>
      <c r="AA11" s="33">
        <v>1</v>
      </c>
    </row>
    <row r="12" spans="1:27" s="25" customFormat="1" ht="15.75">
      <c r="A12" s="38" t="s">
        <v>9</v>
      </c>
      <c r="B12" s="38" t="s">
        <v>204</v>
      </c>
      <c r="C12" s="49"/>
      <c r="D12" s="47">
        <v>324</v>
      </c>
      <c r="E12" s="47"/>
      <c r="F12" s="49"/>
      <c r="G12" s="49">
        <v>365</v>
      </c>
      <c r="H12" s="49"/>
      <c r="I12" s="100">
        <v>386</v>
      </c>
      <c r="J12" s="49"/>
      <c r="K12" s="47"/>
      <c r="L12" s="47"/>
      <c r="M12" s="47"/>
      <c r="N12" s="47"/>
      <c r="O12" s="92">
        <v>397</v>
      </c>
      <c r="P12" s="47">
        <v>358</v>
      </c>
      <c r="Q12" s="49"/>
      <c r="R12" s="100">
        <v>427</v>
      </c>
      <c r="S12" s="49"/>
      <c r="T12" s="40">
        <f t="shared" si="0"/>
        <v>2257</v>
      </c>
      <c r="U12" s="20">
        <v>3</v>
      </c>
      <c r="V12" s="20">
        <v>5</v>
      </c>
      <c r="W12" s="23">
        <v>-39</v>
      </c>
      <c r="X12" s="20">
        <v>0</v>
      </c>
      <c r="Y12" s="24"/>
      <c r="Z12" s="24"/>
      <c r="AA12" s="24">
        <v>1</v>
      </c>
    </row>
    <row r="13" spans="1:27" s="34" customFormat="1" ht="15.75">
      <c r="A13" s="36" t="s">
        <v>10</v>
      </c>
      <c r="B13" s="36" t="s">
        <v>217</v>
      </c>
      <c r="C13" s="52">
        <v>397</v>
      </c>
      <c r="D13" s="48"/>
      <c r="E13" s="48"/>
      <c r="F13" s="52"/>
      <c r="G13" s="52">
        <v>372</v>
      </c>
      <c r="H13" s="52"/>
      <c r="I13" s="97">
        <v>461</v>
      </c>
      <c r="J13" s="52"/>
      <c r="K13" s="52"/>
      <c r="L13" s="52"/>
      <c r="M13" s="52"/>
      <c r="N13" s="52"/>
      <c r="O13" s="52">
        <v>397</v>
      </c>
      <c r="P13" s="52">
        <v>412</v>
      </c>
      <c r="Q13" s="52"/>
      <c r="R13" s="52">
        <v>218</v>
      </c>
      <c r="S13" s="52">
        <v>177</v>
      </c>
      <c r="T13" s="45">
        <f t="shared" si="0"/>
        <v>2434</v>
      </c>
      <c r="U13" s="29">
        <v>1</v>
      </c>
      <c r="V13" s="29">
        <v>7</v>
      </c>
      <c r="W13" s="32">
        <v>-166</v>
      </c>
      <c r="X13" s="29">
        <v>0</v>
      </c>
      <c r="Y13" s="33"/>
      <c r="Z13" s="33"/>
      <c r="AA13" s="33">
        <v>1</v>
      </c>
    </row>
    <row r="14" spans="1:27" s="25" customFormat="1" ht="15.75">
      <c r="A14" s="38" t="s">
        <v>11</v>
      </c>
      <c r="B14" s="38" t="s">
        <v>23</v>
      </c>
      <c r="C14" s="49"/>
      <c r="D14" s="47"/>
      <c r="E14" s="47">
        <v>336</v>
      </c>
      <c r="F14" s="49"/>
      <c r="G14" s="49"/>
      <c r="H14" s="49"/>
      <c r="I14" s="100">
        <v>411</v>
      </c>
      <c r="J14" s="49"/>
      <c r="K14" s="49"/>
      <c r="L14" s="49"/>
      <c r="M14" s="49"/>
      <c r="N14" s="49"/>
      <c r="O14" s="100">
        <v>410</v>
      </c>
      <c r="P14" s="49">
        <v>374</v>
      </c>
      <c r="Q14" s="49"/>
      <c r="R14" s="100">
        <v>427</v>
      </c>
      <c r="S14" s="49">
        <v>337</v>
      </c>
      <c r="T14" s="40">
        <f t="shared" si="0"/>
        <v>2295</v>
      </c>
      <c r="U14" s="20">
        <v>3</v>
      </c>
      <c r="V14" s="20">
        <v>5</v>
      </c>
      <c r="W14" s="20">
        <v>-43</v>
      </c>
      <c r="X14" s="20">
        <v>0</v>
      </c>
      <c r="Y14" s="24"/>
      <c r="Z14" s="24"/>
      <c r="AA14" s="24">
        <v>1</v>
      </c>
    </row>
    <row r="15" spans="1:27" s="34" customFormat="1" ht="15.75">
      <c r="A15" s="36" t="s">
        <v>12</v>
      </c>
      <c r="B15" s="36" t="s">
        <v>26</v>
      </c>
      <c r="C15" s="52"/>
      <c r="D15" s="48"/>
      <c r="E15" s="48"/>
      <c r="F15" s="52"/>
      <c r="G15" s="52">
        <v>394</v>
      </c>
      <c r="H15" s="52"/>
      <c r="I15" s="97">
        <v>459</v>
      </c>
      <c r="J15" s="52"/>
      <c r="K15" s="52"/>
      <c r="L15" s="52">
        <v>350</v>
      </c>
      <c r="M15" s="52"/>
      <c r="N15" s="52"/>
      <c r="O15" s="52">
        <v>405</v>
      </c>
      <c r="P15" s="52"/>
      <c r="Q15" s="52"/>
      <c r="R15" s="97">
        <v>474</v>
      </c>
      <c r="S15" s="52">
        <v>398</v>
      </c>
      <c r="T15" s="45">
        <f t="shared" si="0"/>
        <v>2480</v>
      </c>
      <c r="U15" s="29">
        <v>2</v>
      </c>
      <c r="V15" s="29">
        <v>6</v>
      </c>
      <c r="W15" s="29">
        <v>-207</v>
      </c>
      <c r="X15" s="29">
        <v>0</v>
      </c>
      <c r="Y15" s="33"/>
      <c r="Z15" s="33"/>
      <c r="AA15" s="33">
        <v>1</v>
      </c>
    </row>
    <row r="16" spans="1:27" s="34" customFormat="1" ht="15.75">
      <c r="A16" s="36" t="s">
        <v>13</v>
      </c>
      <c r="B16" s="36" t="s">
        <v>17</v>
      </c>
      <c r="C16" s="52">
        <v>378</v>
      </c>
      <c r="D16" s="48"/>
      <c r="E16" s="48">
        <v>175</v>
      </c>
      <c r="F16" s="52"/>
      <c r="G16" s="52">
        <v>199</v>
      </c>
      <c r="H16" s="52"/>
      <c r="I16" s="52">
        <v>427</v>
      </c>
      <c r="J16" s="52"/>
      <c r="K16" s="52"/>
      <c r="L16" s="52"/>
      <c r="M16" s="52"/>
      <c r="N16" s="52"/>
      <c r="O16" s="52"/>
      <c r="P16" s="97">
        <v>434</v>
      </c>
      <c r="Q16" s="52"/>
      <c r="R16" s="52">
        <v>409</v>
      </c>
      <c r="S16" s="97">
        <v>430</v>
      </c>
      <c r="T16" s="45">
        <f t="shared" si="0"/>
        <v>2452</v>
      </c>
      <c r="U16" s="29">
        <v>2</v>
      </c>
      <c r="V16" s="29">
        <v>6</v>
      </c>
      <c r="W16" s="29">
        <v>-126</v>
      </c>
      <c r="X16" s="29">
        <v>0</v>
      </c>
      <c r="Y16" s="33"/>
      <c r="Z16" s="33"/>
      <c r="AA16" s="33">
        <v>1</v>
      </c>
    </row>
    <row r="17" spans="1:27" s="25" customFormat="1" ht="16.5" thickBot="1">
      <c r="A17" s="38" t="s">
        <v>14</v>
      </c>
      <c r="B17" s="38" t="s">
        <v>15</v>
      </c>
      <c r="C17" s="53"/>
      <c r="D17" s="53"/>
      <c r="E17" s="53"/>
      <c r="F17" s="53">
        <v>402</v>
      </c>
      <c r="G17" s="53"/>
      <c r="H17" s="53"/>
      <c r="I17" s="173">
        <v>409</v>
      </c>
      <c r="J17" s="53"/>
      <c r="K17" s="53"/>
      <c r="L17" s="53"/>
      <c r="M17" s="53"/>
      <c r="N17" s="53"/>
      <c r="O17" s="173">
        <v>406</v>
      </c>
      <c r="P17" s="53">
        <v>385</v>
      </c>
      <c r="Q17" s="53"/>
      <c r="R17" s="173">
        <v>423</v>
      </c>
      <c r="S17" s="173">
        <v>425</v>
      </c>
      <c r="T17" s="55">
        <f t="shared" si="0"/>
        <v>2450</v>
      </c>
      <c r="U17" s="28">
        <v>6</v>
      </c>
      <c r="V17" s="28">
        <v>2</v>
      </c>
      <c r="W17" s="28">
        <v>104</v>
      </c>
      <c r="X17" s="28">
        <v>2</v>
      </c>
      <c r="Y17" s="113">
        <v>1</v>
      </c>
      <c r="Z17" s="113"/>
      <c r="AA17" s="113"/>
    </row>
    <row r="18" spans="3:27" ht="16.5" thickTop="1">
      <c r="C18" s="7">
        <f>SUM(C3)+SUM(C5:C17)</f>
        <v>2841</v>
      </c>
      <c r="D18" s="7">
        <f aca="true" t="shared" si="1" ref="D18:R18">SUM(D3:D17)</f>
        <v>633</v>
      </c>
      <c r="E18" s="7">
        <f>SUM(E3:E5)+SUM(E14)+SUM(E17)</f>
        <v>1028</v>
      </c>
      <c r="F18" s="7">
        <f t="shared" si="1"/>
        <v>1186</v>
      </c>
      <c r="G18" s="7">
        <f>SUM(G3:G15)+SUM(G17)</f>
        <v>3683</v>
      </c>
      <c r="H18" s="7">
        <f t="shared" si="1"/>
        <v>0</v>
      </c>
      <c r="I18" s="7">
        <f>SUM(I5:I17)</f>
        <v>4710</v>
      </c>
      <c r="J18" s="7">
        <f t="shared" si="1"/>
        <v>0</v>
      </c>
      <c r="K18" s="7">
        <f t="shared" si="1"/>
        <v>366</v>
      </c>
      <c r="L18" s="7">
        <f>SUM(L5:L17)</f>
        <v>2578</v>
      </c>
      <c r="M18" s="7">
        <f t="shared" si="1"/>
        <v>0</v>
      </c>
      <c r="N18" s="7">
        <f t="shared" si="1"/>
        <v>347</v>
      </c>
      <c r="O18" s="7">
        <f>SUM(O3)+SUM(O5)+SUM(O7:O17)</f>
        <v>4741</v>
      </c>
      <c r="P18" s="7">
        <f t="shared" si="1"/>
        <v>5075</v>
      </c>
      <c r="Q18" s="7">
        <f t="shared" si="1"/>
        <v>0</v>
      </c>
      <c r="R18" s="7">
        <f t="shared" si="1"/>
        <v>4032</v>
      </c>
      <c r="S18" s="7">
        <f>SUM(S4)+SUM(S14:S17)</f>
        <v>1937</v>
      </c>
      <c r="Y18" s="2">
        <f>SUM(Y3:Y17)</f>
        <v>2</v>
      </c>
      <c r="Z18" s="2">
        <f>SUM(Z3:Z17)</f>
        <v>0</v>
      </c>
      <c r="AA18" s="2">
        <f>SUM(AA3:AA17)</f>
        <v>13</v>
      </c>
    </row>
    <row r="19" spans="2:19" ht="15.75">
      <c r="B19" s="1" t="s">
        <v>249</v>
      </c>
      <c r="C19" s="7">
        <f>COUNT(C3)+COUNT(C5:C17)</f>
        <v>8</v>
      </c>
      <c r="D19" s="7">
        <f aca="true" t="shared" si="2" ref="D19:R19">COUNT(D3:D17)</f>
        <v>2</v>
      </c>
      <c r="E19" s="7">
        <f>COUNT(E4:E6)+COUNT(E15)+COUNT(E17)</f>
        <v>3</v>
      </c>
      <c r="F19" s="7">
        <f t="shared" si="2"/>
        <v>3</v>
      </c>
      <c r="G19" s="7">
        <f>COUNT(G3:G15)+COUNT(G17)</f>
        <v>10</v>
      </c>
      <c r="H19" s="7">
        <f t="shared" si="2"/>
        <v>0</v>
      </c>
      <c r="I19" s="7">
        <f>COUNT(I5:I17)</f>
        <v>11</v>
      </c>
      <c r="J19" s="7">
        <f t="shared" si="2"/>
        <v>0</v>
      </c>
      <c r="K19" s="7">
        <f t="shared" si="2"/>
        <v>1</v>
      </c>
      <c r="L19" s="7">
        <f>COUNT(L5:L17)</f>
        <v>7</v>
      </c>
      <c r="M19" s="7">
        <f t="shared" si="2"/>
        <v>0</v>
      </c>
      <c r="N19" s="7">
        <f t="shared" si="2"/>
        <v>1</v>
      </c>
      <c r="O19" s="7">
        <f>COUNT(O3)+COUNT(O5)+COUNT(O7:O17)</f>
        <v>12</v>
      </c>
      <c r="P19" s="7">
        <f t="shared" si="2"/>
        <v>13</v>
      </c>
      <c r="Q19" s="7">
        <f t="shared" si="2"/>
        <v>0</v>
      </c>
      <c r="R19" s="7">
        <f t="shared" si="2"/>
        <v>10</v>
      </c>
      <c r="S19" s="7">
        <f>COUNT(S14:S17)+COUNT(S4)</f>
        <v>5</v>
      </c>
    </row>
    <row r="20" spans="2:27" ht="31.5">
      <c r="B20" s="12" t="s">
        <v>129</v>
      </c>
      <c r="C20" s="18">
        <f>C18/C19</f>
        <v>355.125</v>
      </c>
      <c r="D20" s="18">
        <f>AVERAGE(D3:D17)</f>
        <v>316.5</v>
      </c>
      <c r="E20" s="18">
        <f>E18/E19</f>
        <v>342.6666666666667</v>
      </c>
      <c r="F20" s="18">
        <f>AVERAGE(F3:F17)</f>
        <v>395.3333333333333</v>
      </c>
      <c r="G20" s="18">
        <f>G18/G19</f>
        <v>368.3</v>
      </c>
      <c r="H20" s="18"/>
      <c r="I20" s="18">
        <f>AVERAGE(I5:I17)</f>
        <v>428.1818181818182</v>
      </c>
      <c r="J20" s="18"/>
      <c r="K20" s="18">
        <f>AVERAGE(K3:K17)</f>
        <v>366</v>
      </c>
      <c r="L20" s="18">
        <f>AVERAGE(L5:L17)</f>
        <v>368.2857142857143</v>
      </c>
      <c r="M20" s="18"/>
      <c r="N20" s="18">
        <f>AVERAGE(N3:N17)</f>
        <v>347</v>
      </c>
      <c r="O20" s="18">
        <f>O18/O19</f>
        <v>395.0833333333333</v>
      </c>
      <c r="P20" s="18">
        <f>AVERAGE(P3:P17)</f>
        <v>390.38461538461536</v>
      </c>
      <c r="Q20" s="18"/>
      <c r="R20" s="18">
        <f>AVERAGE(R3:R17)</f>
        <v>403.2</v>
      </c>
      <c r="S20" s="18">
        <f>S18/S19</f>
        <v>387.4</v>
      </c>
      <c r="T20" s="3" t="s">
        <v>30</v>
      </c>
      <c r="U20" s="265" t="s">
        <v>117</v>
      </c>
      <c r="V20" s="265"/>
      <c r="W20" s="3" t="s">
        <v>31</v>
      </c>
      <c r="X20" s="11" t="s">
        <v>118</v>
      </c>
      <c r="Z20" s="105" t="s">
        <v>128</v>
      </c>
      <c r="AA20" s="105" t="s">
        <v>247</v>
      </c>
    </row>
    <row r="21" spans="20:27" ht="15.75">
      <c r="T21" s="6">
        <f>SUM(T3:T17)</f>
        <v>34797</v>
      </c>
      <c r="U21" s="1">
        <f>SUM(U3:U17)</f>
        <v>35</v>
      </c>
      <c r="V21" s="1">
        <f>SUM(V3:V17)</f>
        <v>85</v>
      </c>
      <c r="W21" s="1">
        <f>SUM(W3:W17)</f>
        <v>-2162</v>
      </c>
      <c r="X21" s="1">
        <f>SUM(X3:X17)</f>
        <v>4</v>
      </c>
      <c r="Z21" s="2">
        <f>U21-V21</f>
        <v>-50</v>
      </c>
      <c r="AA21" s="2">
        <f>SUM(Y18:AA18)</f>
        <v>15</v>
      </c>
    </row>
    <row r="22" spans="3:5" ht="15.75">
      <c r="C22" s="270" t="s">
        <v>40</v>
      </c>
      <c r="D22" s="270"/>
      <c r="E22" s="70"/>
    </row>
    <row r="23" spans="3:21" ht="15.75">
      <c r="C23" s="268" t="s">
        <v>134</v>
      </c>
      <c r="D23" s="268"/>
      <c r="E23" s="37"/>
      <c r="T23" s="1" t="s">
        <v>130</v>
      </c>
      <c r="U23" s="19">
        <f>T21/AA21</f>
        <v>2319.8</v>
      </c>
    </row>
    <row r="24" spans="3:21" ht="15.75">
      <c r="C24" s="269" t="s">
        <v>135</v>
      </c>
      <c r="D24" s="269"/>
      <c r="E24" s="35"/>
      <c r="T24" s="1" t="s">
        <v>260</v>
      </c>
      <c r="U24" s="6">
        <f>T3+T5+T7+T9+T11+T13+T15+T16+T30+T32+T34+T36+T38+T40+T42</f>
        <v>35274</v>
      </c>
    </row>
    <row r="25" spans="12:16" ht="15.75">
      <c r="L25" s="265" t="s">
        <v>154</v>
      </c>
      <c r="M25" s="265"/>
      <c r="N25" s="3" t="s">
        <v>155</v>
      </c>
      <c r="O25" s="271" t="s">
        <v>128</v>
      </c>
      <c r="P25" s="271"/>
    </row>
    <row r="26" spans="1:16" ht="15.75">
      <c r="A26" s="73" t="s">
        <v>144</v>
      </c>
      <c r="B26" s="74"/>
      <c r="C26" s="74" t="s">
        <v>211</v>
      </c>
      <c r="D26" s="74" t="s">
        <v>212</v>
      </c>
      <c r="E26" s="74"/>
      <c r="F26" s="266" t="s">
        <v>213</v>
      </c>
      <c r="G26" s="266"/>
      <c r="H26" s="266"/>
      <c r="I26" s="266"/>
      <c r="J26" s="266"/>
      <c r="L26" s="4">
        <f>U21+U45</f>
        <v>83</v>
      </c>
      <c r="M26" s="4">
        <f>V21+V45</f>
        <v>157</v>
      </c>
      <c r="N26" s="4">
        <f>X21+X45</f>
        <v>14</v>
      </c>
      <c r="O26" s="267">
        <f>L26-M26</f>
        <v>-74</v>
      </c>
      <c r="P26" s="267"/>
    </row>
    <row r="28" spans="11:16" ht="15.75">
      <c r="K28" s="16"/>
      <c r="L28" s="16"/>
      <c r="M28" s="16"/>
      <c r="N28" s="16"/>
      <c r="O28" s="16"/>
      <c r="P28" s="16"/>
    </row>
    <row r="29" spans="2:27" ht="39" customHeight="1" thickBot="1">
      <c r="B29" s="5" t="s">
        <v>25</v>
      </c>
      <c r="C29" s="9" t="s">
        <v>226</v>
      </c>
      <c r="D29" s="9" t="s">
        <v>227</v>
      </c>
      <c r="E29" s="9" t="s">
        <v>228</v>
      </c>
      <c r="F29" s="9" t="s">
        <v>119</v>
      </c>
      <c r="G29" s="9" t="s">
        <v>229</v>
      </c>
      <c r="H29" s="9" t="s">
        <v>240</v>
      </c>
      <c r="I29" s="9" t="s">
        <v>54</v>
      </c>
      <c r="J29" s="219" t="s">
        <v>291</v>
      </c>
      <c r="K29" s="218" t="s">
        <v>231</v>
      </c>
      <c r="L29" s="218" t="s">
        <v>235</v>
      </c>
      <c r="M29" s="219" t="s">
        <v>292</v>
      </c>
      <c r="N29" s="218" t="s">
        <v>237</v>
      </c>
      <c r="O29" s="218" t="s">
        <v>238</v>
      </c>
      <c r="P29" s="218" t="s">
        <v>239</v>
      </c>
      <c r="Q29" s="219" t="s">
        <v>293</v>
      </c>
      <c r="R29" s="9" t="s">
        <v>233</v>
      </c>
      <c r="S29" s="9" t="s">
        <v>234</v>
      </c>
      <c r="T29" s="3" t="s">
        <v>30</v>
      </c>
      <c r="U29" s="3" t="s">
        <v>218</v>
      </c>
      <c r="V29" s="3" t="s">
        <v>29</v>
      </c>
      <c r="W29" s="3" t="s">
        <v>31</v>
      </c>
      <c r="X29" s="11" t="s">
        <v>116</v>
      </c>
      <c r="Y29" s="2" t="s">
        <v>191</v>
      </c>
      <c r="Z29" s="2" t="s">
        <v>192</v>
      </c>
      <c r="AA29" s="2" t="s">
        <v>193</v>
      </c>
    </row>
    <row r="30" spans="1:27" s="158" customFormat="1" ht="15.75">
      <c r="A30" s="154" t="s">
        <v>221</v>
      </c>
      <c r="B30" s="178" t="s">
        <v>23</v>
      </c>
      <c r="C30" s="169">
        <v>372</v>
      </c>
      <c r="D30" s="197"/>
      <c r="E30" s="197">
        <v>339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>
        <v>378</v>
      </c>
      <c r="P30" s="197">
        <v>391</v>
      </c>
      <c r="Q30" s="197"/>
      <c r="R30" s="198">
        <v>424</v>
      </c>
      <c r="S30" s="197">
        <v>412</v>
      </c>
      <c r="T30" s="156">
        <f>SUM(C30:S30)</f>
        <v>2316</v>
      </c>
      <c r="U30" s="154">
        <v>1</v>
      </c>
      <c r="V30" s="154">
        <v>7</v>
      </c>
      <c r="W30" s="154">
        <v>-230</v>
      </c>
      <c r="X30" s="154">
        <v>0</v>
      </c>
      <c r="AA30" s="158">
        <v>1</v>
      </c>
    </row>
    <row r="31" spans="1:25" s="148" customFormat="1" ht="15.75">
      <c r="A31" s="144" t="s">
        <v>222</v>
      </c>
      <c r="B31" s="144" t="s">
        <v>217</v>
      </c>
      <c r="C31" s="149"/>
      <c r="D31" s="149"/>
      <c r="E31" s="149"/>
      <c r="F31" s="149">
        <v>385</v>
      </c>
      <c r="G31" s="149"/>
      <c r="H31" s="149"/>
      <c r="I31" s="201">
        <v>405</v>
      </c>
      <c r="J31" s="149"/>
      <c r="K31" s="149"/>
      <c r="L31" s="149"/>
      <c r="M31" s="149"/>
      <c r="N31" s="149"/>
      <c r="O31" s="149">
        <v>361</v>
      </c>
      <c r="P31" s="149">
        <v>377</v>
      </c>
      <c r="Q31" s="149"/>
      <c r="R31" s="201">
        <v>446</v>
      </c>
      <c r="S31" s="201">
        <v>386</v>
      </c>
      <c r="T31" s="146">
        <f>SUM(C31:S31)</f>
        <v>2360</v>
      </c>
      <c r="U31" s="144">
        <v>5</v>
      </c>
      <c r="V31" s="144">
        <v>3</v>
      </c>
      <c r="W31" s="144">
        <v>34</v>
      </c>
      <c r="X31" s="144">
        <v>2</v>
      </c>
      <c r="Y31" s="148">
        <v>1</v>
      </c>
    </row>
    <row r="32" spans="1:25" s="158" customFormat="1" ht="15.75">
      <c r="A32" s="154" t="s">
        <v>156</v>
      </c>
      <c r="B32" s="154" t="s">
        <v>204</v>
      </c>
      <c r="C32" s="162"/>
      <c r="D32" s="162"/>
      <c r="E32" s="162"/>
      <c r="F32" s="202">
        <v>451</v>
      </c>
      <c r="G32" s="162"/>
      <c r="H32" s="162"/>
      <c r="I32" s="202">
        <v>425</v>
      </c>
      <c r="J32" s="162"/>
      <c r="K32" s="162"/>
      <c r="L32" s="162"/>
      <c r="M32" s="162"/>
      <c r="N32" s="162"/>
      <c r="O32" s="162">
        <v>398</v>
      </c>
      <c r="P32" s="162">
        <v>369</v>
      </c>
      <c r="Q32" s="162"/>
      <c r="R32" s="202">
        <v>416</v>
      </c>
      <c r="S32" s="162">
        <v>396</v>
      </c>
      <c r="T32" s="156">
        <f>SUM(C32:S32)</f>
        <v>2455</v>
      </c>
      <c r="U32" s="154">
        <v>5</v>
      </c>
      <c r="V32" s="154">
        <v>3</v>
      </c>
      <c r="W32" s="154">
        <v>7</v>
      </c>
      <c r="X32" s="154">
        <v>2</v>
      </c>
      <c r="Y32" s="158">
        <v>1</v>
      </c>
    </row>
    <row r="33" spans="1:27" s="148" customFormat="1" ht="15.75">
      <c r="A33" s="144" t="s">
        <v>157</v>
      </c>
      <c r="B33" s="144" t="s">
        <v>214</v>
      </c>
      <c r="C33" s="149">
        <v>370</v>
      </c>
      <c r="D33" s="149"/>
      <c r="E33" s="149">
        <v>321</v>
      </c>
      <c r="F33" s="201">
        <v>401</v>
      </c>
      <c r="G33" s="149"/>
      <c r="H33" s="149"/>
      <c r="I33" s="201">
        <v>400</v>
      </c>
      <c r="J33" s="149"/>
      <c r="K33" s="149"/>
      <c r="L33" s="149"/>
      <c r="M33" s="149"/>
      <c r="N33" s="149"/>
      <c r="O33" s="149"/>
      <c r="P33" s="149">
        <v>384</v>
      </c>
      <c r="Q33" s="149"/>
      <c r="R33" s="149"/>
      <c r="S33" s="201">
        <v>391</v>
      </c>
      <c r="T33" s="146">
        <f>SUM(C33:S33)</f>
        <v>2267</v>
      </c>
      <c r="U33" s="144">
        <v>3</v>
      </c>
      <c r="V33" s="144">
        <v>5</v>
      </c>
      <c r="W33" s="144">
        <v>-21</v>
      </c>
      <c r="X33" s="144">
        <v>0</v>
      </c>
      <c r="AA33" s="148">
        <v>1</v>
      </c>
    </row>
    <row r="34" spans="1:27" s="158" customFormat="1" ht="15.75">
      <c r="A34" s="154" t="s">
        <v>158</v>
      </c>
      <c r="B34" s="154" t="s">
        <v>19</v>
      </c>
      <c r="C34" s="162">
        <v>381</v>
      </c>
      <c r="D34" s="162"/>
      <c r="E34" s="162">
        <v>385</v>
      </c>
      <c r="F34" s="202">
        <v>441</v>
      </c>
      <c r="G34" s="162"/>
      <c r="H34" s="162">
        <v>338</v>
      </c>
      <c r="I34" s="162"/>
      <c r="J34" s="162"/>
      <c r="K34" s="162"/>
      <c r="L34" s="162"/>
      <c r="M34" s="162"/>
      <c r="N34" s="162"/>
      <c r="O34" s="162"/>
      <c r="P34" s="162">
        <v>386</v>
      </c>
      <c r="Q34" s="162"/>
      <c r="R34" s="162"/>
      <c r="S34" s="162">
        <v>390</v>
      </c>
      <c r="T34" s="156">
        <f>SUM(C34:S34)</f>
        <v>2321</v>
      </c>
      <c r="U34" s="154">
        <v>1</v>
      </c>
      <c r="V34" s="154">
        <v>7</v>
      </c>
      <c r="W34" s="154">
        <v>-281</v>
      </c>
      <c r="X34" s="154">
        <v>0</v>
      </c>
      <c r="AA34" s="158">
        <v>1</v>
      </c>
    </row>
    <row r="35" spans="1:27" s="148" customFormat="1" ht="15.75">
      <c r="A35" s="144" t="s">
        <v>159</v>
      </c>
      <c r="B35" s="166" t="s">
        <v>21</v>
      </c>
      <c r="C35" s="149"/>
      <c r="D35" s="149"/>
      <c r="E35" s="149">
        <v>365</v>
      </c>
      <c r="F35" s="201">
        <v>423</v>
      </c>
      <c r="G35" s="149">
        <v>352</v>
      </c>
      <c r="H35" s="149"/>
      <c r="I35" s="149">
        <v>381</v>
      </c>
      <c r="J35" s="149"/>
      <c r="K35" s="149"/>
      <c r="L35" s="149"/>
      <c r="M35" s="149"/>
      <c r="N35" s="149"/>
      <c r="O35" s="201">
        <v>398</v>
      </c>
      <c r="P35" s="149">
        <v>367</v>
      </c>
      <c r="Q35" s="149"/>
      <c r="R35" s="149"/>
      <c r="S35" s="149"/>
      <c r="T35" s="146">
        <f aca="true" t="shared" si="3" ref="T35:T44">SUM(C35:S35)</f>
        <v>2286</v>
      </c>
      <c r="U35" s="144">
        <v>2</v>
      </c>
      <c r="V35" s="144">
        <v>6</v>
      </c>
      <c r="W35" s="144">
        <v>-107</v>
      </c>
      <c r="X35" s="144">
        <v>0</v>
      </c>
      <c r="AA35" s="148">
        <v>1</v>
      </c>
    </row>
    <row r="36" spans="1:27" s="158" customFormat="1" ht="15.75">
      <c r="A36" s="154" t="s">
        <v>160</v>
      </c>
      <c r="B36" s="197" t="s">
        <v>24</v>
      </c>
      <c r="C36" s="162">
        <v>389</v>
      </c>
      <c r="D36" s="162"/>
      <c r="E36" s="202">
        <v>437</v>
      </c>
      <c r="F36" s="162">
        <v>422</v>
      </c>
      <c r="G36" s="162"/>
      <c r="H36" s="162"/>
      <c r="I36" s="162">
        <v>429</v>
      </c>
      <c r="J36" s="162"/>
      <c r="K36" s="162"/>
      <c r="L36" s="162"/>
      <c r="M36" s="162"/>
      <c r="N36" s="162"/>
      <c r="O36" s="162">
        <v>328</v>
      </c>
      <c r="P36" s="162">
        <v>396</v>
      </c>
      <c r="Q36" s="162"/>
      <c r="R36" s="162"/>
      <c r="S36" s="162"/>
      <c r="T36" s="156">
        <f t="shared" si="3"/>
        <v>2401</v>
      </c>
      <c r="U36" s="154">
        <v>1</v>
      </c>
      <c r="V36" s="154">
        <v>7</v>
      </c>
      <c r="W36" s="154">
        <v>-228</v>
      </c>
      <c r="X36" s="154">
        <v>0</v>
      </c>
      <c r="AA36" s="158">
        <v>1</v>
      </c>
    </row>
    <row r="37" spans="1:27" s="148" customFormat="1" ht="15.75">
      <c r="A37" s="144" t="s">
        <v>161</v>
      </c>
      <c r="B37" s="144" t="s">
        <v>20</v>
      </c>
      <c r="C37" s="149">
        <v>359</v>
      </c>
      <c r="D37" s="149"/>
      <c r="E37" s="149">
        <v>380</v>
      </c>
      <c r="F37" s="201">
        <v>405</v>
      </c>
      <c r="G37" s="149"/>
      <c r="I37" s="201">
        <v>416</v>
      </c>
      <c r="K37" s="149"/>
      <c r="L37" s="149"/>
      <c r="N37" s="149"/>
      <c r="O37" s="149">
        <v>391</v>
      </c>
      <c r="P37" s="201">
        <v>403</v>
      </c>
      <c r="Q37" s="149"/>
      <c r="R37" s="149"/>
      <c r="S37" s="149"/>
      <c r="T37" s="146">
        <f t="shared" si="3"/>
        <v>2354</v>
      </c>
      <c r="U37" s="144">
        <v>3</v>
      </c>
      <c r="V37" s="144">
        <v>5</v>
      </c>
      <c r="W37" s="144">
        <v>-48</v>
      </c>
      <c r="X37" s="144">
        <v>0</v>
      </c>
      <c r="AA37" s="148">
        <v>1</v>
      </c>
    </row>
    <row r="38" spans="1:27" s="158" customFormat="1" ht="15.75">
      <c r="A38" s="154" t="s">
        <v>162</v>
      </c>
      <c r="B38" s="154" t="s">
        <v>18</v>
      </c>
      <c r="C38" s="162">
        <v>397</v>
      </c>
      <c r="D38" s="162"/>
      <c r="E38" s="162">
        <v>382</v>
      </c>
      <c r="F38" s="202">
        <v>399</v>
      </c>
      <c r="G38" s="162"/>
      <c r="I38" s="162"/>
      <c r="J38" s="162">
        <v>365</v>
      </c>
      <c r="K38" s="162"/>
      <c r="L38" s="162"/>
      <c r="M38" s="162">
        <v>346</v>
      </c>
      <c r="N38" s="162"/>
      <c r="O38" s="162"/>
      <c r="P38" s="162">
        <v>177</v>
      </c>
      <c r="Q38" s="162">
        <v>162</v>
      </c>
      <c r="R38" s="162"/>
      <c r="S38" s="162"/>
      <c r="T38" s="156">
        <f t="shared" si="3"/>
        <v>2228</v>
      </c>
      <c r="U38" s="154">
        <v>1</v>
      </c>
      <c r="V38" s="154">
        <v>7</v>
      </c>
      <c r="W38" s="154">
        <v>-367</v>
      </c>
      <c r="X38" s="154">
        <v>0</v>
      </c>
      <c r="AA38" s="158">
        <v>1</v>
      </c>
    </row>
    <row r="39" spans="1:27" s="148" customFormat="1" ht="15.75">
      <c r="A39" s="144" t="s">
        <v>163</v>
      </c>
      <c r="B39" s="144" t="s">
        <v>216</v>
      </c>
      <c r="C39" s="149"/>
      <c r="D39" s="149"/>
      <c r="E39" s="201">
        <v>391</v>
      </c>
      <c r="F39" s="149">
        <v>345</v>
      </c>
      <c r="G39" s="149"/>
      <c r="H39" s="149"/>
      <c r="I39" s="201">
        <v>408</v>
      </c>
      <c r="J39" s="149"/>
      <c r="K39" s="149"/>
      <c r="L39" s="149"/>
      <c r="M39" s="149"/>
      <c r="N39" s="149"/>
      <c r="O39" s="226">
        <v>386</v>
      </c>
      <c r="P39" s="149">
        <v>385</v>
      </c>
      <c r="Q39" s="149"/>
      <c r="R39" s="149">
        <v>368</v>
      </c>
      <c r="S39" s="149"/>
      <c r="T39" s="146">
        <f t="shared" si="3"/>
        <v>2283</v>
      </c>
      <c r="U39" s="144">
        <v>3</v>
      </c>
      <c r="V39" s="144">
        <v>5</v>
      </c>
      <c r="W39" s="144">
        <v>-101</v>
      </c>
      <c r="X39" s="144">
        <v>0</v>
      </c>
      <c r="AA39" s="148">
        <v>1</v>
      </c>
    </row>
    <row r="40" spans="1:27" s="158" customFormat="1" ht="15.75">
      <c r="A40" s="154" t="s">
        <v>164</v>
      </c>
      <c r="B40" s="154" t="s">
        <v>223</v>
      </c>
      <c r="C40" s="162">
        <v>402</v>
      </c>
      <c r="D40" s="162"/>
      <c r="E40" s="162">
        <v>420</v>
      </c>
      <c r="F40" s="162"/>
      <c r="G40" s="162"/>
      <c r="H40" s="162"/>
      <c r="I40" s="162"/>
      <c r="J40" s="162"/>
      <c r="K40" s="162"/>
      <c r="L40" s="162"/>
      <c r="M40" s="162">
        <v>370</v>
      </c>
      <c r="N40" s="162"/>
      <c r="O40" s="162">
        <v>380</v>
      </c>
      <c r="P40" s="227">
        <v>423</v>
      </c>
      <c r="Q40" s="162"/>
      <c r="R40" s="227">
        <v>445</v>
      </c>
      <c r="S40" s="162"/>
      <c r="T40" s="156">
        <f t="shared" si="3"/>
        <v>2440</v>
      </c>
      <c r="U40" s="154">
        <v>2</v>
      </c>
      <c r="V40" s="154">
        <v>6</v>
      </c>
      <c r="W40" s="154">
        <f>T40-2554</f>
        <v>-114</v>
      </c>
      <c r="X40" s="154">
        <v>0</v>
      </c>
      <c r="AA40" s="158">
        <v>1</v>
      </c>
    </row>
    <row r="41" spans="1:25" s="148" customFormat="1" ht="15.75">
      <c r="A41" s="144" t="s">
        <v>165</v>
      </c>
      <c r="B41" s="199" t="s">
        <v>22</v>
      </c>
      <c r="C41" s="149">
        <v>384</v>
      </c>
      <c r="D41" s="149"/>
      <c r="E41" s="226">
        <v>421</v>
      </c>
      <c r="F41" s="149"/>
      <c r="G41" s="149"/>
      <c r="H41" s="149"/>
      <c r="I41" s="226">
        <v>430</v>
      </c>
      <c r="J41" s="149">
        <v>386</v>
      </c>
      <c r="K41" s="149"/>
      <c r="L41" s="149"/>
      <c r="M41" s="149"/>
      <c r="N41" s="149"/>
      <c r="O41" s="149"/>
      <c r="P41" s="226">
        <v>393</v>
      </c>
      <c r="Q41" s="149"/>
      <c r="R41" s="226">
        <v>392</v>
      </c>
      <c r="S41" s="149"/>
      <c r="T41" s="146">
        <f t="shared" si="3"/>
        <v>2406</v>
      </c>
      <c r="U41" s="144">
        <v>6</v>
      </c>
      <c r="V41" s="144">
        <v>2</v>
      </c>
      <c r="W41" s="144">
        <v>103</v>
      </c>
      <c r="X41" s="144">
        <v>2</v>
      </c>
      <c r="Y41" s="148">
        <v>1</v>
      </c>
    </row>
    <row r="42" spans="1:27" s="158" customFormat="1" ht="15.75">
      <c r="A42" s="154" t="s">
        <v>166</v>
      </c>
      <c r="B42" s="154" t="s">
        <v>15</v>
      </c>
      <c r="C42" s="227">
        <v>429</v>
      </c>
      <c r="D42" s="162"/>
      <c r="E42" s="162">
        <v>359</v>
      </c>
      <c r="F42" s="162"/>
      <c r="G42" s="162"/>
      <c r="H42" s="162"/>
      <c r="I42" s="162"/>
      <c r="J42" s="227">
        <v>441</v>
      </c>
      <c r="K42" s="162"/>
      <c r="L42" s="162"/>
      <c r="M42" s="162">
        <v>167</v>
      </c>
      <c r="N42" s="162"/>
      <c r="O42" s="162"/>
      <c r="P42" s="162">
        <v>382</v>
      </c>
      <c r="Q42" s="162"/>
      <c r="R42" s="227">
        <v>431</v>
      </c>
      <c r="S42" s="162">
        <v>204</v>
      </c>
      <c r="T42" s="156">
        <f t="shared" si="3"/>
        <v>2413</v>
      </c>
      <c r="U42" s="154">
        <v>3</v>
      </c>
      <c r="V42" s="154">
        <v>5</v>
      </c>
      <c r="W42" s="154">
        <f>T42-2566</f>
        <v>-153</v>
      </c>
      <c r="X42" s="154">
        <v>0</v>
      </c>
      <c r="AA42" s="158">
        <v>1</v>
      </c>
    </row>
    <row r="43" spans="1:25" s="148" customFormat="1" ht="15.75">
      <c r="A43" s="144" t="s">
        <v>167</v>
      </c>
      <c r="B43" s="144" t="s">
        <v>17</v>
      </c>
      <c r="C43" s="226">
        <v>405</v>
      </c>
      <c r="D43" s="149"/>
      <c r="E43" s="226">
        <v>409</v>
      </c>
      <c r="F43" s="149"/>
      <c r="G43" s="149"/>
      <c r="H43" s="149"/>
      <c r="I43" s="149">
        <v>397</v>
      </c>
      <c r="J43" s="226">
        <v>416</v>
      </c>
      <c r="K43" s="149"/>
      <c r="L43" s="149"/>
      <c r="M43" s="149"/>
      <c r="N43" s="149"/>
      <c r="O43" s="149"/>
      <c r="P43" s="226">
        <v>403</v>
      </c>
      <c r="Q43" s="149"/>
      <c r="R43" s="149">
        <v>402</v>
      </c>
      <c r="S43" s="149"/>
      <c r="T43" s="146">
        <f t="shared" si="3"/>
        <v>2432</v>
      </c>
      <c r="U43" s="144">
        <v>6</v>
      </c>
      <c r="V43" s="144">
        <v>2</v>
      </c>
      <c r="W43" s="144">
        <v>9</v>
      </c>
      <c r="X43" s="144">
        <v>2</v>
      </c>
      <c r="Y43" s="148">
        <v>1</v>
      </c>
    </row>
    <row r="44" spans="1:27" s="148" customFormat="1" ht="16.5" thickBot="1">
      <c r="A44" s="144" t="s">
        <v>168</v>
      </c>
      <c r="B44" s="144" t="s">
        <v>26</v>
      </c>
      <c r="C44" s="150"/>
      <c r="D44" s="150"/>
      <c r="E44" s="150">
        <v>358</v>
      </c>
      <c r="F44" s="150"/>
      <c r="G44" s="150"/>
      <c r="H44" s="150"/>
      <c r="I44" s="235">
        <v>450</v>
      </c>
      <c r="J44" s="235">
        <v>409</v>
      </c>
      <c r="K44" s="150"/>
      <c r="L44" s="150"/>
      <c r="M44" s="150"/>
      <c r="N44" s="150"/>
      <c r="O44" s="150"/>
      <c r="P44" s="235">
        <v>404</v>
      </c>
      <c r="Q44" s="150"/>
      <c r="R44" s="235">
        <v>410</v>
      </c>
      <c r="S44" s="150">
        <v>389</v>
      </c>
      <c r="T44" s="152">
        <f t="shared" si="3"/>
        <v>2420</v>
      </c>
      <c r="U44" s="151">
        <v>6</v>
      </c>
      <c r="V44" s="151">
        <v>2</v>
      </c>
      <c r="W44" s="151">
        <v>154</v>
      </c>
      <c r="X44" s="151">
        <v>2</v>
      </c>
      <c r="Y44" s="180">
        <v>1</v>
      </c>
      <c r="Z44" s="180"/>
      <c r="AA44" s="180"/>
    </row>
    <row r="45" spans="3:27" ht="16.5" thickTop="1">
      <c r="C45" s="89">
        <f aca="true" t="shared" si="4" ref="C45:R45">SUM(C30:C44)</f>
        <v>3888</v>
      </c>
      <c r="D45" s="89">
        <f t="shared" si="4"/>
        <v>0</v>
      </c>
      <c r="E45" s="89">
        <f t="shared" si="4"/>
        <v>4967</v>
      </c>
      <c r="F45" s="89">
        <f t="shared" si="4"/>
        <v>3672</v>
      </c>
      <c r="G45" s="89">
        <f t="shared" si="4"/>
        <v>352</v>
      </c>
      <c r="H45" s="89">
        <f t="shared" si="4"/>
        <v>338</v>
      </c>
      <c r="I45" s="89">
        <f t="shared" si="4"/>
        <v>4141</v>
      </c>
      <c r="J45" s="89">
        <f t="shared" si="4"/>
        <v>2017</v>
      </c>
      <c r="K45" s="89">
        <f t="shared" si="4"/>
        <v>0</v>
      </c>
      <c r="L45" s="89">
        <f t="shared" si="4"/>
        <v>0</v>
      </c>
      <c r="M45" s="89">
        <f>SUM(M30:M41)+SUM(M43:M44)</f>
        <v>716</v>
      </c>
      <c r="N45" s="89">
        <f t="shared" si="4"/>
        <v>0</v>
      </c>
      <c r="O45" s="89">
        <f t="shared" si="4"/>
        <v>3020</v>
      </c>
      <c r="P45" s="89">
        <f>SUM(P30:P37)</f>
        <v>3073</v>
      </c>
      <c r="Q45" s="89">
        <f t="shared" si="4"/>
        <v>162</v>
      </c>
      <c r="R45" s="89">
        <f t="shared" si="4"/>
        <v>3734</v>
      </c>
      <c r="S45" s="89">
        <f>SUM(S30:S41)+SUM(S43:S44)</f>
        <v>2364</v>
      </c>
      <c r="U45" s="1">
        <f>SUM(U30:U44)</f>
        <v>48</v>
      </c>
      <c r="V45" s="1">
        <f>SUM(V30:V44)</f>
        <v>72</v>
      </c>
      <c r="W45" s="1">
        <f>SUM(W30:W44)</f>
        <v>-1343</v>
      </c>
      <c r="X45" s="1">
        <f>SUM(X30:X44)</f>
        <v>10</v>
      </c>
      <c r="Y45" s="1">
        <f>SUM(Y30:Y44)+Y18</f>
        <v>7</v>
      </c>
      <c r="Z45" s="1">
        <f>SUM(Z30:Z44)+Z18</f>
        <v>0</v>
      </c>
      <c r="AA45" s="1">
        <f>SUM(AA30:AA44)+AA18</f>
        <v>23</v>
      </c>
    </row>
    <row r="46" spans="2:19" ht="31.5">
      <c r="B46" s="192" t="s">
        <v>279</v>
      </c>
      <c r="C46" s="4">
        <f>COUNT(C30:C44)</f>
        <v>10</v>
      </c>
      <c r="D46" s="4">
        <f aca="true" t="shared" si="5" ref="D46:R46">COUNT(D30:D44)</f>
        <v>0</v>
      </c>
      <c r="E46" s="4">
        <f t="shared" si="5"/>
        <v>13</v>
      </c>
      <c r="F46" s="4">
        <f t="shared" si="5"/>
        <v>9</v>
      </c>
      <c r="G46" s="4">
        <f t="shared" si="5"/>
        <v>1</v>
      </c>
      <c r="H46" s="4">
        <f t="shared" si="5"/>
        <v>1</v>
      </c>
      <c r="I46" s="4">
        <f t="shared" si="5"/>
        <v>10</v>
      </c>
      <c r="J46" s="4">
        <f t="shared" si="5"/>
        <v>5</v>
      </c>
      <c r="K46" s="4">
        <f t="shared" si="5"/>
        <v>0</v>
      </c>
      <c r="L46" s="4">
        <f t="shared" si="5"/>
        <v>0</v>
      </c>
      <c r="M46" s="89">
        <f>COUNT(M30:M41)+COUNT(M43:M44)</f>
        <v>2</v>
      </c>
      <c r="N46" s="4">
        <f t="shared" si="5"/>
        <v>0</v>
      </c>
      <c r="O46" s="4">
        <f t="shared" si="5"/>
        <v>8</v>
      </c>
      <c r="P46" s="4">
        <f>COUNT(P30:P37)</f>
        <v>8</v>
      </c>
      <c r="Q46" s="4">
        <f t="shared" si="5"/>
        <v>1</v>
      </c>
      <c r="R46" s="4">
        <f t="shared" si="5"/>
        <v>9</v>
      </c>
      <c r="S46" s="89">
        <f>COUNT(S30:S41)+COUNT(S43:S44)</f>
        <v>6</v>
      </c>
    </row>
    <row r="47" spans="2:27" ht="31.5">
      <c r="B47" s="12" t="s">
        <v>278</v>
      </c>
      <c r="C47" s="18">
        <f>C45/C46</f>
        <v>388.8</v>
      </c>
      <c r="D47" s="18"/>
      <c r="E47" s="18">
        <f aca="true" t="shared" si="6" ref="E47:J47">E45/E46</f>
        <v>382.0769230769231</v>
      </c>
      <c r="F47" s="18">
        <f t="shared" si="6"/>
        <v>408</v>
      </c>
      <c r="G47" s="18">
        <f t="shared" si="6"/>
        <v>352</v>
      </c>
      <c r="H47" s="18">
        <f t="shared" si="6"/>
        <v>338</v>
      </c>
      <c r="I47" s="18">
        <f t="shared" si="6"/>
        <v>414.1</v>
      </c>
      <c r="J47" s="18">
        <f t="shared" si="6"/>
        <v>403.4</v>
      </c>
      <c r="K47" s="18"/>
      <c r="L47" s="18"/>
      <c r="M47" s="18">
        <f>M45/M46</f>
        <v>358</v>
      </c>
      <c r="N47" s="18"/>
      <c r="O47" s="18">
        <f>O45/O46</f>
        <v>377.5</v>
      </c>
      <c r="P47" s="18">
        <f>P45/P46</f>
        <v>384.125</v>
      </c>
      <c r="Q47" s="18"/>
      <c r="R47" s="18">
        <f>R45/R46</f>
        <v>414.8888888888889</v>
      </c>
      <c r="S47" s="18">
        <f>S45/S46</f>
        <v>394</v>
      </c>
      <c r="T47" s="3" t="s">
        <v>30</v>
      </c>
      <c r="U47" s="265" t="s">
        <v>117</v>
      </c>
      <c r="V47" s="265"/>
      <c r="W47" s="3" t="s">
        <v>31</v>
      </c>
      <c r="X47" s="11" t="s">
        <v>118</v>
      </c>
      <c r="Z47" s="105" t="s">
        <v>128</v>
      </c>
      <c r="AA47" s="105" t="s">
        <v>247</v>
      </c>
    </row>
    <row r="48" spans="20:27" ht="15.75">
      <c r="T48" s="6">
        <f>SUM(T30:T44)+T21</f>
        <v>70179</v>
      </c>
      <c r="U48" s="6">
        <f>SUM(U30:U44)+U21</f>
        <v>83</v>
      </c>
      <c r="V48" s="6">
        <f>SUM(V30:V44)+V21</f>
        <v>157</v>
      </c>
      <c r="W48" s="6">
        <f>SUM(W30:W44)+W21</f>
        <v>-3505</v>
      </c>
      <c r="X48" s="6">
        <f>SUM(X30:X44)+X21</f>
        <v>14</v>
      </c>
      <c r="Z48" s="2">
        <f>U48-V48</f>
        <v>-74</v>
      </c>
      <c r="AA48" s="2">
        <f>SUM(Y45:AA45)</f>
        <v>30</v>
      </c>
    </row>
    <row r="50" spans="20:21" ht="15.75">
      <c r="T50" s="1" t="s">
        <v>130</v>
      </c>
      <c r="U50" s="19">
        <f>T48/AA48</f>
        <v>2339.3</v>
      </c>
    </row>
  </sheetData>
  <sheetProtection/>
  <mergeCells count="11">
    <mergeCell ref="O26:P26"/>
    <mergeCell ref="U47:V47"/>
    <mergeCell ref="F26:J26"/>
    <mergeCell ref="C24:D24"/>
    <mergeCell ref="C1:S1"/>
    <mergeCell ref="L25:M25"/>
    <mergeCell ref="U1:V1"/>
    <mergeCell ref="C22:D22"/>
    <mergeCell ref="U20:V20"/>
    <mergeCell ref="C23:D23"/>
    <mergeCell ref="O25:P25"/>
  </mergeCells>
  <printOptions/>
  <pageMargins left="0.75" right="0.75" top="1" bottom="1" header="0.5" footer="0.5"/>
  <pageSetup horizontalDpi="600" verticalDpi="600" orientation="portrait" paperSize="9" r:id="rId1"/>
  <ignoredErrors>
    <ignoredError sqref="D20:E20 E19 O18:O20" formula="1"/>
    <ignoredError sqref="E18 G18:G19 I18:I20 L18:L20" formula="1" formulaRange="1"/>
    <ignoredError sqref="S18:S1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C3:O26"/>
  <sheetViews>
    <sheetView zoomScalePageLayoutView="0" workbookViewId="0" topLeftCell="C3">
      <selection activeCell="M9" sqref="M9"/>
    </sheetView>
  </sheetViews>
  <sheetFormatPr defaultColWidth="9.00390625" defaultRowHeight="12.75"/>
  <cols>
    <col min="3" max="3" width="7.625" style="0" customWidth="1"/>
    <col min="4" max="4" width="14.00390625" style="0" bestFit="1" customWidth="1"/>
    <col min="5" max="5" width="10.125" style="0" bestFit="1" customWidth="1"/>
    <col min="6" max="6" width="7.375" style="0" customWidth="1"/>
    <col min="7" max="7" width="5.75390625" style="0" customWidth="1"/>
    <col min="8" max="8" width="6.125" style="0" customWidth="1"/>
    <col min="9" max="9" width="5.875" style="0" customWidth="1"/>
    <col min="10" max="10" width="5.625" style="0" customWidth="1"/>
    <col min="11" max="11" width="15.875" style="0" bestFit="1" customWidth="1"/>
    <col min="12" max="12" width="10.00390625" style="0" bestFit="1" customWidth="1"/>
    <col min="13" max="13" width="24.75390625" style="0" bestFit="1" customWidth="1"/>
    <col min="14" max="14" width="13.125" style="0" bestFit="1" customWidth="1"/>
    <col min="15" max="15" width="24.75390625" style="0" bestFit="1" customWidth="1"/>
  </cols>
  <sheetData>
    <row r="3" spans="3:14" ht="15.75">
      <c r="C3" s="262" t="s">
        <v>272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ht="13.5" thickBot="1"/>
    <row r="5" spans="3:15" ht="16.5" thickBot="1">
      <c r="C5" s="56"/>
      <c r="D5" s="128" t="s">
        <v>195</v>
      </c>
      <c r="E5" s="128" t="s">
        <v>190</v>
      </c>
      <c r="F5" s="121" t="s">
        <v>191</v>
      </c>
      <c r="G5" s="129" t="s">
        <v>192</v>
      </c>
      <c r="H5" s="122" t="s">
        <v>193</v>
      </c>
      <c r="I5" s="263" t="s">
        <v>194</v>
      </c>
      <c r="J5" s="264"/>
      <c r="K5" s="128" t="s">
        <v>128</v>
      </c>
      <c r="L5" s="128" t="s">
        <v>189</v>
      </c>
      <c r="M5" s="117" t="s">
        <v>259</v>
      </c>
      <c r="N5" s="117" t="s">
        <v>256</v>
      </c>
      <c r="O5" s="130" t="s">
        <v>30</v>
      </c>
    </row>
    <row r="6" spans="3:15" ht="15.75">
      <c r="C6" s="131">
        <v>1</v>
      </c>
      <c r="D6" s="64" t="s">
        <v>26</v>
      </c>
      <c r="E6" s="65">
        <v>15</v>
      </c>
      <c r="F6" s="66">
        <v>13</v>
      </c>
      <c r="G6" s="66">
        <v>0</v>
      </c>
      <c r="H6" s="66">
        <v>2</v>
      </c>
      <c r="I6" s="99">
        <v>81</v>
      </c>
      <c r="J6" s="123">
        <v>39</v>
      </c>
      <c r="K6" s="134">
        <v>43</v>
      </c>
      <c r="L6" s="137">
        <v>26</v>
      </c>
      <c r="M6" s="141">
        <v>18360</v>
      </c>
      <c r="N6" s="135">
        <v>2646.5333333333333</v>
      </c>
      <c r="O6" s="143">
        <v>39698</v>
      </c>
    </row>
    <row r="7" spans="3:15" ht="15.75">
      <c r="C7" s="65" t="s">
        <v>241</v>
      </c>
      <c r="D7" s="65" t="s">
        <v>216</v>
      </c>
      <c r="E7" s="65">
        <v>15</v>
      </c>
      <c r="F7" s="66">
        <v>11</v>
      </c>
      <c r="G7" s="66">
        <v>0</v>
      </c>
      <c r="H7" s="66">
        <v>4</v>
      </c>
      <c r="I7" s="124">
        <v>77</v>
      </c>
      <c r="J7" s="123">
        <v>43</v>
      </c>
      <c r="K7" s="116">
        <v>34</v>
      </c>
      <c r="L7" s="138">
        <v>22</v>
      </c>
      <c r="M7" s="115">
        <v>18324</v>
      </c>
      <c r="N7" s="118">
        <v>2602.8</v>
      </c>
      <c r="O7" s="124">
        <v>39042</v>
      </c>
    </row>
    <row r="8" spans="3:15" ht="15.75">
      <c r="C8" s="65" t="s">
        <v>263</v>
      </c>
      <c r="D8" s="65" t="s">
        <v>15</v>
      </c>
      <c r="E8" s="65">
        <v>15</v>
      </c>
      <c r="F8" s="66">
        <v>10</v>
      </c>
      <c r="G8" s="66">
        <v>0</v>
      </c>
      <c r="H8" s="66">
        <v>5</v>
      </c>
      <c r="I8" s="124">
        <v>73</v>
      </c>
      <c r="J8" s="123">
        <v>47</v>
      </c>
      <c r="K8" s="116">
        <v>26</v>
      </c>
      <c r="L8" s="138">
        <v>20</v>
      </c>
      <c r="M8" s="115">
        <v>20504</v>
      </c>
      <c r="N8" s="118">
        <v>2573.5333333333333</v>
      </c>
      <c r="O8" s="124">
        <v>38603</v>
      </c>
    </row>
    <row r="9" spans="3:15" ht="15.75">
      <c r="C9" s="65" t="s">
        <v>264</v>
      </c>
      <c r="D9" s="65" t="s">
        <v>217</v>
      </c>
      <c r="E9" s="65">
        <v>15</v>
      </c>
      <c r="F9" s="66">
        <v>10</v>
      </c>
      <c r="G9" s="66">
        <v>0</v>
      </c>
      <c r="H9" s="66">
        <v>5</v>
      </c>
      <c r="I9" s="124">
        <v>68</v>
      </c>
      <c r="J9" s="123">
        <v>52</v>
      </c>
      <c r="K9" s="116">
        <v>16</v>
      </c>
      <c r="L9" s="138">
        <v>20</v>
      </c>
      <c r="M9" s="115">
        <v>20473</v>
      </c>
      <c r="N9" s="118">
        <v>2570.866666666667</v>
      </c>
      <c r="O9" s="124">
        <v>38563</v>
      </c>
    </row>
    <row r="10" spans="3:15" ht="15.75">
      <c r="C10" s="65" t="s">
        <v>265</v>
      </c>
      <c r="D10" s="65" t="s">
        <v>24</v>
      </c>
      <c r="E10" s="65">
        <v>15</v>
      </c>
      <c r="F10" s="66">
        <v>10</v>
      </c>
      <c r="G10" s="66">
        <v>0</v>
      </c>
      <c r="H10" s="66">
        <v>5</v>
      </c>
      <c r="I10" s="124">
        <v>67</v>
      </c>
      <c r="J10" s="123">
        <v>53</v>
      </c>
      <c r="K10" s="116">
        <v>14</v>
      </c>
      <c r="L10" s="138">
        <v>20</v>
      </c>
      <c r="M10" s="115">
        <v>17971</v>
      </c>
      <c r="N10" s="118">
        <v>2574.6666666666665</v>
      </c>
      <c r="O10" s="124">
        <v>38620</v>
      </c>
    </row>
    <row r="11" spans="3:15" ht="15.75">
      <c r="C11" s="65" t="s">
        <v>266</v>
      </c>
      <c r="D11" s="65" t="s">
        <v>17</v>
      </c>
      <c r="E11" s="115">
        <v>15</v>
      </c>
      <c r="F11" s="66">
        <v>9</v>
      </c>
      <c r="G11" s="66">
        <v>1</v>
      </c>
      <c r="H11" s="66">
        <v>5</v>
      </c>
      <c r="I11" s="124">
        <v>68</v>
      </c>
      <c r="J11" s="123">
        <v>52</v>
      </c>
      <c r="K11" s="116">
        <v>16</v>
      </c>
      <c r="L11" s="138">
        <v>19</v>
      </c>
      <c r="M11" s="115">
        <v>20574</v>
      </c>
      <c r="N11" s="118">
        <v>2576.6666666666665</v>
      </c>
      <c r="O11" s="124">
        <v>38650</v>
      </c>
    </row>
    <row r="12" spans="3:15" ht="15.75">
      <c r="C12" s="65" t="s">
        <v>267</v>
      </c>
      <c r="D12" s="65" t="s">
        <v>23</v>
      </c>
      <c r="E12" s="65">
        <v>15</v>
      </c>
      <c r="F12" s="66">
        <v>9</v>
      </c>
      <c r="G12" s="66">
        <v>0</v>
      </c>
      <c r="H12" s="66">
        <v>6</v>
      </c>
      <c r="I12" s="124">
        <v>67</v>
      </c>
      <c r="J12" s="123">
        <v>53</v>
      </c>
      <c r="K12" s="116">
        <v>14</v>
      </c>
      <c r="L12" s="138">
        <v>18</v>
      </c>
      <c r="M12" s="115">
        <v>20305</v>
      </c>
      <c r="N12" s="118">
        <v>2550.3333333333335</v>
      </c>
      <c r="O12" s="124">
        <v>38255</v>
      </c>
    </row>
    <row r="13" spans="3:15" ht="15.75">
      <c r="C13" s="65" t="s">
        <v>268</v>
      </c>
      <c r="D13" s="65" t="s">
        <v>18</v>
      </c>
      <c r="E13" s="175">
        <v>15</v>
      </c>
      <c r="F13" s="176">
        <v>9</v>
      </c>
      <c r="G13" s="177">
        <v>0</v>
      </c>
      <c r="H13" s="177">
        <v>6</v>
      </c>
      <c r="I13" s="124">
        <v>64</v>
      </c>
      <c r="J13" s="123">
        <v>56</v>
      </c>
      <c r="K13" s="116">
        <v>8</v>
      </c>
      <c r="L13" s="138">
        <v>18</v>
      </c>
      <c r="M13" s="115">
        <v>18015</v>
      </c>
      <c r="N13" s="118">
        <v>2583.0666666666666</v>
      </c>
      <c r="O13" s="124">
        <v>38746</v>
      </c>
    </row>
    <row r="14" spans="3:15" ht="15.75">
      <c r="C14" s="65" t="s">
        <v>269</v>
      </c>
      <c r="D14" s="65" t="s">
        <v>21</v>
      </c>
      <c r="E14" s="65">
        <v>15</v>
      </c>
      <c r="F14" s="66">
        <v>8</v>
      </c>
      <c r="G14" s="66">
        <v>0</v>
      </c>
      <c r="H14" s="66">
        <v>7</v>
      </c>
      <c r="I14" s="124">
        <v>66</v>
      </c>
      <c r="J14" s="123">
        <v>54</v>
      </c>
      <c r="K14" s="116">
        <v>12</v>
      </c>
      <c r="L14" s="138">
        <v>16</v>
      </c>
      <c r="M14" s="115">
        <v>17895</v>
      </c>
      <c r="N14" s="118">
        <v>2556.133333333333</v>
      </c>
      <c r="O14" s="124">
        <v>38342</v>
      </c>
    </row>
    <row r="15" spans="3:15" ht="15.75">
      <c r="C15" s="65">
        <v>10</v>
      </c>
      <c r="D15" s="65" t="s">
        <v>214</v>
      </c>
      <c r="E15" s="67">
        <v>15</v>
      </c>
      <c r="F15" s="66">
        <v>6</v>
      </c>
      <c r="G15" s="66">
        <v>1</v>
      </c>
      <c r="H15" s="66">
        <v>8</v>
      </c>
      <c r="I15" s="124">
        <v>56</v>
      </c>
      <c r="J15" s="123">
        <v>64</v>
      </c>
      <c r="K15" s="116">
        <v>-8</v>
      </c>
      <c r="L15" s="138">
        <v>13</v>
      </c>
      <c r="M15" s="115">
        <v>20428</v>
      </c>
      <c r="N15" s="118">
        <v>2550</v>
      </c>
      <c r="O15" s="124">
        <v>38250</v>
      </c>
    </row>
    <row r="16" spans="3:15" ht="15.75">
      <c r="C16" s="65">
        <v>11</v>
      </c>
      <c r="D16" s="65" t="s">
        <v>20</v>
      </c>
      <c r="E16" s="65">
        <v>15</v>
      </c>
      <c r="F16" s="66">
        <v>6</v>
      </c>
      <c r="G16" s="66">
        <v>0</v>
      </c>
      <c r="H16" s="66">
        <v>9</v>
      </c>
      <c r="I16" s="124">
        <v>59</v>
      </c>
      <c r="J16" s="123">
        <v>61</v>
      </c>
      <c r="K16" s="116">
        <v>-2</v>
      </c>
      <c r="L16" s="138">
        <v>12</v>
      </c>
      <c r="M16" s="115">
        <v>17941</v>
      </c>
      <c r="N16" s="118">
        <v>2567.133333333333</v>
      </c>
      <c r="O16" s="124">
        <v>38507</v>
      </c>
    </row>
    <row r="17" spans="3:15" ht="15.75">
      <c r="C17" s="65">
        <v>12</v>
      </c>
      <c r="D17" s="65" t="s">
        <v>223</v>
      </c>
      <c r="E17" s="65">
        <v>15</v>
      </c>
      <c r="F17" s="66">
        <v>6</v>
      </c>
      <c r="G17" s="66">
        <v>0</v>
      </c>
      <c r="H17" s="66">
        <v>9</v>
      </c>
      <c r="I17" s="124">
        <v>53</v>
      </c>
      <c r="J17" s="123">
        <v>67</v>
      </c>
      <c r="K17" s="116">
        <v>-14</v>
      </c>
      <c r="L17" s="138">
        <v>12</v>
      </c>
      <c r="M17" s="115">
        <v>17524</v>
      </c>
      <c r="N17" s="118">
        <v>2506.8</v>
      </c>
      <c r="O17" s="124">
        <v>37602</v>
      </c>
    </row>
    <row r="18" spans="3:15" ht="15.75">
      <c r="C18" s="65">
        <v>13</v>
      </c>
      <c r="D18" s="65" t="s">
        <v>204</v>
      </c>
      <c r="E18" s="65">
        <v>15</v>
      </c>
      <c r="F18" s="66">
        <v>5</v>
      </c>
      <c r="G18" s="66">
        <v>0</v>
      </c>
      <c r="H18" s="66">
        <v>10</v>
      </c>
      <c r="I18" s="124">
        <v>48</v>
      </c>
      <c r="J18" s="123">
        <v>72</v>
      </c>
      <c r="K18" s="116">
        <v>-24</v>
      </c>
      <c r="L18" s="138">
        <v>10</v>
      </c>
      <c r="M18" s="115">
        <v>19865</v>
      </c>
      <c r="N18" s="118">
        <v>2459</v>
      </c>
      <c r="O18" s="124">
        <v>36885</v>
      </c>
    </row>
    <row r="19" spans="3:15" ht="15.75">
      <c r="C19" s="65">
        <v>14</v>
      </c>
      <c r="D19" s="65" t="s">
        <v>19</v>
      </c>
      <c r="E19" s="65">
        <v>15</v>
      </c>
      <c r="F19" s="63">
        <v>4</v>
      </c>
      <c r="G19" s="63">
        <v>0</v>
      </c>
      <c r="H19" s="63">
        <v>11</v>
      </c>
      <c r="I19" s="124">
        <v>48</v>
      </c>
      <c r="J19" s="123">
        <v>72</v>
      </c>
      <c r="K19" s="116">
        <v>-24</v>
      </c>
      <c r="L19" s="138">
        <v>8</v>
      </c>
      <c r="M19" s="115">
        <v>19725</v>
      </c>
      <c r="N19" s="118">
        <v>2475.6</v>
      </c>
      <c r="O19" s="124">
        <v>37134</v>
      </c>
    </row>
    <row r="20" spans="3:15" ht="15.75">
      <c r="C20" s="65" t="s">
        <v>270</v>
      </c>
      <c r="D20" s="65" t="s">
        <v>218</v>
      </c>
      <c r="E20" s="65">
        <v>15</v>
      </c>
      <c r="F20" s="66">
        <v>2</v>
      </c>
      <c r="G20" s="66">
        <v>0</v>
      </c>
      <c r="H20" s="66">
        <v>13</v>
      </c>
      <c r="I20" s="124">
        <v>35</v>
      </c>
      <c r="J20" s="123">
        <v>85</v>
      </c>
      <c r="K20" s="116">
        <v>-50</v>
      </c>
      <c r="L20" s="138">
        <v>4</v>
      </c>
      <c r="M20" s="115">
        <v>18700</v>
      </c>
      <c r="N20" s="118">
        <v>2319.8</v>
      </c>
      <c r="O20" s="124">
        <v>34797</v>
      </c>
    </row>
    <row r="21" spans="3:15" ht="16.5" thickBot="1">
      <c r="C21" s="127" t="s">
        <v>271</v>
      </c>
      <c r="D21" s="127" t="s">
        <v>22</v>
      </c>
      <c r="E21" s="127">
        <v>15</v>
      </c>
      <c r="F21" s="132">
        <v>1</v>
      </c>
      <c r="G21" s="132">
        <v>0</v>
      </c>
      <c r="H21" s="132">
        <v>14</v>
      </c>
      <c r="I21" s="125">
        <v>30</v>
      </c>
      <c r="J21" s="126">
        <v>90</v>
      </c>
      <c r="K21" s="120">
        <v>-60</v>
      </c>
      <c r="L21" s="139">
        <v>2</v>
      </c>
      <c r="M21" s="142">
        <v>16930</v>
      </c>
      <c r="N21" s="119">
        <v>2405.733333333333</v>
      </c>
      <c r="O21" s="125">
        <v>36086</v>
      </c>
    </row>
    <row r="22" ht="15.75">
      <c r="C22" s="56"/>
    </row>
    <row r="25" ht="12.75">
      <c r="D25" t="s">
        <v>261</v>
      </c>
    </row>
    <row r="26" ht="12.75">
      <c r="D26" t="s">
        <v>262</v>
      </c>
    </row>
  </sheetData>
  <sheetProtection/>
  <mergeCells count="2">
    <mergeCell ref="I5:J5"/>
    <mergeCell ref="C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3"/>
  <sheetViews>
    <sheetView zoomScalePageLayoutView="0" workbookViewId="0" topLeftCell="A1">
      <selection activeCell="F166" sqref="B2:F166"/>
    </sheetView>
  </sheetViews>
  <sheetFormatPr defaultColWidth="9.00390625" defaultRowHeight="12.75"/>
  <cols>
    <col min="1" max="1" width="12.125" style="2" bestFit="1" customWidth="1"/>
    <col min="2" max="2" width="23.125" style="0" bestFit="1" customWidth="1"/>
    <col min="3" max="3" width="17.75390625" style="0" bestFit="1" customWidth="1"/>
    <col min="4" max="4" width="9.875" style="0" customWidth="1"/>
    <col min="5" max="5" width="10.875" style="195" bestFit="1" customWidth="1"/>
    <col min="6" max="6" width="23.75390625" style="2" customWidth="1"/>
  </cols>
  <sheetData>
    <row r="1" spans="1:6" ht="37.5">
      <c r="A1" s="190" t="s">
        <v>276</v>
      </c>
      <c r="B1" s="190" t="s">
        <v>254</v>
      </c>
      <c r="C1" s="190" t="s">
        <v>255</v>
      </c>
      <c r="D1" s="190" t="s">
        <v>273</v>
      </c>
      <c r="E1" s="194" t="s">
        <v>274</v>
      </c>
      <c r="F1" s="191" t="s">
        <v>275</v>
      </c>
    </row>
    <row r="2" spans="1:10" ht="18.75">
      <c r="A2" s="193">
        <v>1</v>
      </c>
      <c r="B2" s="210" t="s">
        <v>93</v>
      </c>
      <c r="C2" s="210" t="s">
        <v>18</v>
      </c>
      <c r="D2" s="196">
        <f>Phoenix!D20</f>
        <v>475</v>
      </c>
      <c r="E2" s="211">
        <v>1</v>
      </c>
      <c r="F2" s="196">
        <f>Phoenix!D47</f>
        <v>480.4</v>
      </c>
      <c r="G2" s="133"/>
      <c r="J2" s="133" t="s">
        <v>281</v>
      </c>
    </row>
    <row r="3" spans="1:10" ht="18.75">
      <c r="A3" s="193">
        <v>2</v>
      </c>
      <c r="B3" s="210" t="s">
        <v>38</v>
      </c>
      <c r="C3" s="210" t="s">
        <v>24</v>
      </c>
      <c r="D3" s="196">
        <f>Amazonok!D20</f>
        <v>459.1666666666667</v>
      </c>
      <c r="E3" s="211">
        <v>2</v>
      </c>
      <c r="F3" s="196">
        <f>Amazonok!D47</f>
        <v>470.2307692307692</v>
      </c>
      <c r="G3" s="133"/>
      <c r="J3" s="172" t="s">
        <v>282</v>
      </c>
    </row>
    <row r="4" spans="1:7" ht="18.75">
      <c r="A4" s="193">
        <v>3</v>
      </c>
      <c r="B4" s="210" t="s">
        <v>37</v>
      </c>
      <c r="C4" s="210" t="s">
        <v>24</v>
      </c>
      <c r="D4" s="196">
        <f>Amazonok!C20</f>
        <v>457.7857142857143</v>
      </c>
      <c r="E4" s="211">
        <v>3</v>
      </c>
      <c r="F4" s="196">
        <f>Amazonok!C47</f>
        <v>465.1666666666667</v>
      </c>
      <c r="G4" s="172"/>
    </row>
    <row r="5" spans="1:6" ht="18.75">
      <c r="A5" s="193">
        <v>4</v>
      </c>
      <c r="B5" s="212" t="s">
        <v>286</v>
      </c>
      <c r="C5" s="212" t="s">
        <v>17</v>
      </c>
      <c r="D5" s="196" t="s">
        <v>284</v>
      </c>
      <c r="E5" s="211" t="s">
        <v>284</v>
      </c>
      <c r="F5" s="196">
        <f>Privát!K47</f>
        <v>459.6666666666667</v>
      </c>
    </row>
    <row r="6" spans="1:6" ht="18.75">
      <c r="A6" s="193">
        <v>5</v>
      </c>
      <c r="B6" s="210" t="s">
        <v>45</v>
      </c>
      <c r="C6" s="210" t="s">
        <v>26</v>
      </c>
      <c r="D6" s="196">
        <f>Kinizsi!G20</f>
        <v>456.7857142857143</v>
      </c>
      <c r="E6" s="211">
        <v>4</v>
      </c>
      <c r="F6" s="196">
        <f>Kinizsi!G47</f>
        <v>453.6923076923077</v>
      </c>
    </row>
    <row r="7" spans="1:6" ht="18.75">
      <c r="A7" s="193">
        <v>6</v>
      </c>
      <c r="B7" s="210" t="s">
        <v>133</v>
      </c>
      <c r="C7" s="210" t="s">
        <v>26</v>
      </c>
      <c r="D7" s="196">
        <f>Kinizsi!J20</f>
        <v>449.38461538461536</v>
      </c>
      <c r="E7" s="211">
        <v>9</v>
      </c>
      <c r="F7" s="196">
        <f>Kinizsi!J47</f>
        <v>451.8333333333333</v>
      </c>
    </row>
    <row r="8" spans="1:6" ht="18.75">
      <c r="A8" s="193">
        <v>7</v>
      </c>
      <c r="B8" s="212" t="s">
        <v>289</v>
      </c>
      <c r="C8" s="212" t="s">
        <v>217</v>
      </c>
      <c r="D8" s="213" t="s">
        <v>284</v>
      </c>
      <c r="E8" s="214" t="s">
        <v>284</v>
      </c>
      <c r="F8" s="196">
        <f>GLB!K47</f>
        <v>450</v>
      </c>
    </row>
    <row r="9" spans="1:6" ht="18.75">
      <c r="A9" s="193">
        <v>8</v>
      </c>
      <c r="B9" s="210" t="s">
        <v>43</v>
      </c>
      <c r="C9" s="210" t="s">
        <v>26</v>
      </c>
      <c r="D9" s="196">
        <f>Kinizsi!E20</f>
        <v>451.9166666666667</v>
      </c>
      <c r="E9" s="211">
        <v>5</v>
      </c>
      <c r="F9" s="196">
        <f>Kinizsi!E47</f>
        <v>448.6666666666667</v>
      </c>
    </row>
    <row r="10" spans="1:6" ht="18.75">
      <c r="A10" s="193">
        <v>9</v>
      </c>
      <c r="B10" s="210" t="s">
        <v>92</v>
      </c>
      <c r="C10" s="210" t="s">
        <v>18</v>
      </c>
      <c r="D10" s="196">
        <f>Phoenix!C20</f>
        <v>451.46666666666664</v>
      </c>
      <c r="E10" s="211">
        <v>6</v>
      </c>
      <c r="F10" s="196">
        <f>Phoenix!C47</f>
        <v>448.64285714285717</v>
      </c>
    </row>
    <row r="11" spans="1:6" ht="18.75">
      <c r="A11" s="193">
        <v>10</v>
      </c>
      <c r="B11" s="210" t="s">
        <v>50</v>
      </c>
      <c r="C11" s="210" t="s">
        <v>15</v>
      </c>
      <c r="D11" s="196">
        <f>Tápé!H20</f>
        <v>442.5</v>
      </c>
      <c r="E11" s="211">
        <v>14</v>
      </c>
      <c r="F11" s="196">
        <f>Tápé!H47</f>
        <v>447.46153846153845</v>
      </c>
    </row>
    <row r="12" spans="1:6" ht="18.75">
      <c r="A12" s="193">
        <v>11</v>
      </c>
      <c r="B12" s="210" t="s">
        <v>137</v>
      </c>
      <c r="C12" s="210" t="s">
        <v>223</v>
      </c>
      <c r="D12" s="196">
        <f>'Fa-Team'!J20</f>
        <v>443.14285714285717</v>
      </c>
      <c r="E12" s="211">
        <v>12</v>
      </c>
      <c r="F12" s="196">
        <f>'Fa-Team'!J47</f>
        <v>444.7857142857143</v>
      </c>
    </row>
    <row r="13" spans="1:6" ht="18.75">
      <c r="A13" s="193">
        <v>12</v>
      </c>
      <c r="B13" s="210" t="s">
        <v>132</v>
      </c>
      <c r="C13" s="210" t="s">
        <v>15</v>
      </c>
      <c r="D13" s="196">
        <f>Tápé!I20</f>
        <v>434.2142857142857</v>
      </c>
      <c r="E13" s="211">
        <v>34</v>
      </c>
      <c r="F13" s="196">
        <f>Tápé!I47</f>
        <v>444.64285714285717</v>
      </c>
    </row>
    <row r="14" spans="1:6" ht="18.75">
      <c r="A14" s="193">
        <v>13</v>
      </c>
      <c r="B14" s="210" t="s">
        <v>210</v>
      </c>
      <c r="C14" s="210" t="s">
        <v>223</v>
      </c>
      <c r="D14" s="196">
        <f>'Fa-Team'!I20</f>
        <v>449.8</v>
      </c>
      <c r="E14" s="211">
        <v>8</v>
      </c>
      <c r="F14" s="196">
        <f>'Fa-Team'!I47</f>
        <v>442.6923076923077</v>
      </c>
    </row>
    <row r="15" spans="1:6" ht="18.75">
      <c r="A15" s="193">
        <v>14</v>
      </c>
      <c r="B15" s="212" t="s">
        <v>285</v>
      </c>
      <c r="C15" s="210" t="s">
        <v>216</v>
      </c>
      <c r="D15" s="196" t="s">
        <v>284</v>
      </c>
      <c r="E15" s="211" t="s">
        <v>284</v>
      </c>
      <c r="F15" s="196">
        <f>Kalmár!L47</f>
        <v>442.5</v>
      </c>
    </row>
    <row r="16" spans="1:6" ht="18.75">
      <c r="A16" s="193">
        <v>15</v>
      </c>
      <c r="B16" s="210" t="s">
        <v>72</v>
      </c>
      <c r="C16" s="210" t="s">
        <v>250</v>
      </c>
      <c r="D16" s="196">
        <f>Santé!C20</f>
        <v>439.9230769230769</v>
      </c>
      <c r="E16" s="211">
        <v>20</v>
      </c>
      <c r="F16" s="196">
        <f>Santé!C47</f>
        <v>441.57142857142856</v>
      </c>
    </row>
    <row r="17" spans="1:6" ht="18.75">
      <c r="A17" s="193">
        <v>16</v>
      </c>
      <c r="B17" s="210" t="s">
        <v>69</v>
      </c>
      <c r="C17" s="210" t="s">
        <v>253</v>
      </c>
      <c r="D17" s="196">
        <f>GLB!D20</f>
        <v>423.9</v>
      </c>
      <c r="E17" s="211">
        <v>62</v>
      </c>
      <c r="F17" s="196">
        <f>GLB!D47</f>
        <v>439.8666666666667</v>
      </c>
    </row>
    <row r="18" spans="1:6" ht="18.75">
      <c r="A18" s="193">
        <v>17</v>
      </c>
      <c r="B18" s="210" t="s">
        <v>65</v>
      </c>
      <c r="C18" s="210" t="s">
        <v>20</v>
      </c>
      <c r="D18" s="196">
        <f>Szefo!C20</f>
        <v>436.2857142857143</v>
      </c>
      <c r="E18" s="211">
        <v>28</v>
      </c>
      <c r="F18" s="196">
        <f>Szefo!C47</f>
        <v>439.1333333333333</v>
      </c>
    </row>
    <row r="19" spans="1:6" ht="18.75">
      <c r="A19" s="193">
        <v>18</v>
      </c>
      <c r="B19" s="212" t="s">
        <v>283</v>
      </c>
      <c r="C19" s="212" t="s">
        <v>21</v>
      </c>
      <c r="D19" s="196">
        <v>0</v>
      </c>
      <c r="E19" s="211" t="s">
        <v>284</v>
      </c>
      <c r="F19" s="196">
        <f>'Dél Akku'!K47</f>
        <v>437.85714285714283</v>
      </c>
    </row>
    <row r="20" spans="1:6" ht="18.75">
      <c r="A20" s="193">
        <v>19</v>
      </c>
      <c r="B20" s="210" t="s">
        <v>140</v>
      </c>
      <c r="C20" s="210" t="s">
        <v>252</v>
      </c>
      <c r="D20" s="196">
        <f>'Anro ker'!J20</f>
        <v>422.14285714285717</v>
      </c>
      <c r="E20" s="211">
        <v>68</v>
      </c>
      <c r="F20" s="196">
        <f>'Anro ker'!J47</f>
        <v>437.53333333333336</v>
      </c>
    </row>
    <row r="21" spans="1:6" ht="18.75">
      <c r="A21" s="193">
        <v>20</v>
      </c>
      <c r="B21" s="210" t="s">
        <v>53</v>
      </c>
      <c r="C21" s="210" t="s">
        <v>17</v>
      </c>
      <c r="D21" s="196">
        <f>Privát!F20</f>
        <v>427.3</v>
      </c>
      <c r="E21" s="211">
        <v>55</v>
      </c>
      <c r="F21" s="196">
        <f>Privát!F47</f>
        <v>437.1818181818182</v>
      </c>
    </row>
    <row r="22" spans="1:6" ht="18.75">
      <c r="A22" s="193">
        <v>21</v>
      </c>
      <c r="B22" s="210" t="s">
        <v>244</v>
      </c>
      <c r="C22" s="210" t="s">
        <v>216</v>
      </c>
      <c r="D22" s="196">
        <f>Kalmár!K20</f>
        <v>446.93333333333334</v>
      </c>
      <c r="E22" s="211">
        <v>10</v>
      </c>
      <c r="F22" s="196">
        <f>Kalmár!K47</f>
        <v>436.8</v>
      </c>
    </row>
    <row r="23" spans="1:6" ht="18.75">
      <c r="A23" s="193">
        <v>22</v>
      </c>
      <c r="B23" s="210" t="s">
        <v>245</v>
      </c>
      <c r="C23" s="210" t="s">
        <v>20</v>
      </c>
      <c r="D23" s="196">
        <f>Szefo!I20</f>
        <v>427.6</v>
      </c>
      <c r="E23" s="211">
        <v>53</v>
      </c>
      <c r="F23" s="196">
        <f>Szefo!I47</f>
        <v>436.4</v>
      </c>
    </row>
    <row r="24" spans="1:6" ht="18.75">
      <c r="A24" s="193">
        <v>23</v>
      </c>
      <c r="B24" s="210" t="s">
        <v>98</v>
      </c>
      <c r="C24" s="210" t="s">
        <v>24</v>
      </c>
      <c r="D24" s="196">
        <f>Amazonok!H20</f>
        <v>428</v>
      </c>
      <c r="E24" s="211">
        <v>51</v>
      </c>
      <c r="F24" s="196">
        <f>Amazonok!I47</f>
        <v>436.2142857142857</v>
      </c>
    </row>
    <row r="25" spans="1:6" ht="18.75">
      <c r="A25" s="193">
        <v>24</v>
      </c>
      <c r="B25" s="210" t="s">
        <v>76</v>
      </c>
      <c r="C25" s="210" t="s">
        <v>250</v>
      </c>
      <c r="D25" s="196">
        <f>Santé!G20</f>
        <v>427.57142857142856</v>
      </c>
      <c r="E25" s="211">
        <v>54</v>
      </c>
      <c r="F25" s="196">
        <f>Santé!G47</f>
        <v>436</v>
      </c>
    </row>
    <row r="26" spans="1:6" ht="18.75">
      <c r="A26" s="193">
        <v>25</v>
      </c>
      <c r="B26" s="210" t="s">
        <v>32</v>
      </c>
      <c r="C26" s="210" t="s">
        <v>204</v>
      </c>
      <c r="D26" s="196">
        <f>Démász!N20</f>
        <v>428.25</v>
      </c>
      <c r="E26" s="211">
        <v>49</v>
      </c>
      <c r="F26" s="196">
        <f>Démász!N47</f>
        <v>435</v>
      </c>
    </row>
    <row r="27" spans="1:6" ht="18.75">
      <c r="A27" s="193">
        <v>26</v>
      </c>
      <c r="B27" s="210" t="s">
        <v>123</v>
      </c>
      <c r="C27" s="210" t="s">
        <v>15</v>
      </c>
      <c r="D27" s="196">
        <f>Tápé!L20</f>
        <v>418.8333333333333</v>
      </c>
      <c r="E27" s="211">
        <v>77</v>
      </c>
      <c r="F27" s="196">
        <f>Tápé!L47</f>
        <v>435</v>
      </c>
    </row>
    <row r="28" spans="1:6" ht="18.75">
      <c r="A28" s="193">
        <v>27</v>
      </c>
      <c r="B28" s="210" t="s">
        <v>151</v>
      </c>
      <c r="C28" s="210" t="s">
        <v>204</v>
      </c>
      <c r="D28" s="196">
        <f>Démász!L20</f>
        <v>395.3333333333333</v>
      </c>
      <c r="E28" s="211">
        <v>118</v>
      </c>
      <c r="F28" s="196">
        <f>Démász!L47</f>
        <v>434</v>
      </c>
    </row>
    <row r="29" spans="1:6" ht="18.75">
      <c r="A29" s="193">
        <v>28</v>
      </c>
      <c r="B29" s="210" t="s">
        <v>138</v>
      </c>
      <c r="C29" s="210" t="s">
        <v>216</v>
      </c>
      <c r="D29" s="196">
        <f>Kalmár!I20</f>
        <v>441.3636363636364</v>
      </c>
      <c r="E29" s="211">
        <v>16</v>
      </c>
      <c r="F29" s="196">
        <f>Kalmár!I47</f>
        <v>433.5</v>
      </c>
    </row>
    <row r="30" spans="1:6" ht="18.75">
      <c r="A30" s="193">
        <v>29</v>
      </c>
      <c r="B30" s="210" t="s">
        <v>175</v>
      </c>
      <c r="C30" s="210" t="s">
        <v>17</v>
      </c>
      <c r="D30" s="196">
        <f>Privát!C20</f>
        <v>429.5</v>
      </c>
      <c r="E30" s="211">
        <v>44</v>
      </c>
      <c r="F30" s="196">
        <f>Privát!C47</f>
        <v>433.2</v>
      </c>
    </row>
    <row r="31" spans="1:6" ht="18.75">
      <c r="A31" s="193">
        <v>30</v>
      </c>
      <c r="B31" s="210" t="s">
        <v>63</v>
      </c>
      <c r="C31" s="210" t="s">
        <v>20</v>
      </c>
      <c r="D31" s="196">
        <f>Szefo!F20</f>
        <v>437.73333333333335</v>
      </c>
      <c r="E31" s="211">
        <v>23</v>
      </c>
      <c r="F31" s="196">
        <f>Szefo!F47</f>
        <v>432.85714285714283</v>
      </c>
    </row>
    <row r="32" spans="1:6" ht="18.75">
      <c r="A32" s="193">
        <v>31</v>
      </c>
      <c r="B32" s="210" t="s">
        <v>52</v>
      </c>
      <c r="C32" s="210" t="s">
        <v>17</v>
      </c>
      <c r="D32" s="196">
        <f>Privát!E20</f>
        <v>436.26666666666665</v>
      </c>
      <c r="E32" s="211">
        <v>29</v>
      </c>
      <c r="F32" s="196">
        <f>Privát!E47</f>
        <v>432.6666666666667</v>
      </c>
    </row>
    <row r="33" spans="1:6" ht="18.75">
      <c r="A33" s="193">
        <v>32</v>
      </c>
      <c r="B33" s="210" t="s">
        <v>188</v>
      </c>
      <c r="C33" s="210" t="s">
        <v>216</v>
      </c>
      <c r="D33" s="196">
        <f>Kalmár!J20</f>
        <v>439.38461538461536</v>
      </c>
      <c r="E33" s="211">
        <v>21</v>
      </c>
      <c r="F33" s="196">
        <f>Kalmár!J47</f>
        <v>432</v>
      </c>
    </row>
    <row r="34" spans="1:6" ht="18.75">
      <c r="A34" s="193">
        <v>33</v>
      </c>
      <c r="B34" s="210" t="s">
        <v>51</v>
      </c>
      <c r="C34" s="210" t="s">
        <v>17</v>
      </c>
      <c r="D34" s="196">
        <f>Privát!D20</f>
        <v>429.2857142857143</v>
      </c>
      <c r="E34" s="211">
        <v>46</v>
      </c>
      <c r="F34" s="196">
        <f>Privát!D47</f>
        <v>431.9230769230769</v>
      </c>
    </row>
    <row r="35" spans="1:6" ht="18.75">
      <c r="A35" s="193">
        <v>34</v>
      </c>
      <c r="B35" s="210" t="s">
        <v>196</v>
      </c>
      <c r="C35" s="210" t="s">
        <v>17</v>
      </c>
      <c r="D35" s="196">
        <f>Privát!I20</f>
        <v>429.46666666666664</v>
      </c>
      <c r="E35" s="211">
        <v>45</v>
      </c>
      <c r="F35" s="196">
        <f>Privát!I47</f>
        <v>431.57142857142856</v>
      </c>
    </row>
    <row r="36" spans="1:6" ht="18.75">
      <c r="A36" s="193">
        <v>35</v>
      </c>
      <c r="B36" s="210" t="s">
        <v>74</v>
      </c>
      <c r="C36" s="210" t="s">
        <v>250</v>
      </c>
      <c r="D36" s="196">
        <f>Santé!E20</f>
        <v>442.9</v>
      </c>
      <c r="E36" s="211">
        <v>13</v>
      </c>
      <c r="F36" s="196">
        <f>Santé!E47</f>
        <v>431.09090909090907</v>
      </c>
    </row>
    <row r="37" spans="1:6" ht="18.75">
      <c r="A37" s="193">
        <v>36</v>
      </c>
      <c r="B37" s="210" t="s">
        <v>174</v>
      </c>
      <c r="C37" s="210" t="s">
        <v>253</v>
      </c>
      <c r="D37" s="196">
        <f>GLB!F20</f>
        <v>435.53846153846155</v>
      </c>
      <c r="E37" s="211">
        <v>30</v>
      </c>
      <c r="F37" s="196">
        <f>GLB!F47</f>
        <v>430.85714285714283</v>
      </c>
    </row>
    <row r="38" spans="1:6" ht="18.75">
      <c r="A38" s="193">
        <v>37</v>
      </c>
      <c r="B38" s="210" t="s">
        <v>113</v>
      </c>
      <c r="C38" s="210" t="s">
        <v>252</v>
      </c>
      <c r="D38" s="196">
        <f>'Anro ker'!K20</f>
        <v>417.54545454545456</v>
      </c>
      <c r="E38" s="211">
        <v>79</v>
      </c>
      <c r="F38" s="196">
        <f>'Anro ker'!K47</f>
        <v>430.57142857142856</v>
      </c>
    </row>
    <row r="39" spans="1:6" ht="18.75">
      <c r="A39" s="193">
        <v>38</v>
      </c>
      <c r="B39" s="210" t="s">
        <v>112</v>
      </c>
      <c r="C39" s="210" t="s">
        <v>26</v>
      </c>
      <c r="D39" s="196">
        <f>Kinizsi!I20</f>
        <v>442.3333333333333</v>
      </c>
      <c r="E39" s="211">
        <v>15</v>
      </c>
      <c r="F39" s="196">
        <f>Kinizsi!I47</f>
        <v>430.53333333333336</v>
      </c>
    </row>
    <row r="40" spans="1:6" ht="18.75">
      <c r="A40" s="193">
        <v>39</v>
      </c>
      <c r="B40" s="210" t="s">
        <v>109</v>
      </c>
      <c r="C40" s="210" t="s">
        <v>216</v>
      </c>
      <c r="D40" s="196">
        <f>Kalmár!E20</f>
        <v>424.2142857142857</v>
      </c>
      <c r="E40" s="211">
        <v>60</v>
      </c>
      <c r="F40" s="196">
        <f>Kalmár!E47</f>
        <v>430.46153846153845</v>
      </c>
    </row>
    <row r="41" spans="1:6" ht="18.75">
      <c r="A41" s="193">
        <v>40</v>
      </c>
      <c r="B41" s="210" t="s">
        <v>84</v>
      </c>
      <c r="C41" s="210" t="s">
        <v>252</v>
      </c>
      <c r="D41" s="196">
        <f>'Anro ker'!E20</f>
        <v>410.14285714285717</v>
      </c>
      <c r="E41" s="211">
        <v>96</v>
      </c>
      <c r="F41" s="196">
        <f>'Anro ker'!E47</f>
        <v>430.4</v>
      </c>
    </row>
    <row r="42" spans="1:6" ht="18.75">
      <c r="A42" s="193">
        <v>41</v>
      </c>
      <c r="B42" s="210" t="s">
        <v>47</v>
      </c>
      <c r="C42" s="210" t="s">
        <v>15</v>
      </c>
      <c r="D42" s="196">
        <f>Tápé!E20</f>
        <v>432.84615384615387</v>
      </c>
      <c r="E42" s="211">
        <v>36</v>
      </c>
      <c r="F42" s="196">
        <f>Tápé!E47</f>
        <v>430</v>
      </c>
    </row>
    <row r="43" spans="1:6" ht="18.75">
      <c r="A43" s="193">
        <v>42</v>
      </c>
      <c r="B43" s="210" t="s">
        <v>96</v>
      </c>
      <c r="C43" s="210" t="s">
        <v>18</v>
      </c>
      <c r="D43" s="196">
        <f>Phoenix!G20</f>
        <v>425.3333333333333</v>
      </c>
      <c r="E43" s="211">
        <v>57</v>
      </c>
      <c r="F43" s="196">
        <f>Phoenix!G47</f>
        <v>429.53333333333336</v>
      </c>
    </row>
    <row r="44" spans="1:6" ht="18.75">
      <c r="A44" s="193">
        <v>43</v>
      </c>
      <c r="B44" s="210" t="s">
        <v>57</v>
      </c>
      <c r="C44" s="210" t="s">
        <v>21</v>
      </c>
      <c r="D44" s="196">
        <f>'Dél Akku'!E20</f>
        <v>443.53333333333336</v>
      </c>
      <c r="E44" s="211">
        <v>11</v>
      </c>
      <c r="F44" s="196">
        <f>'Dél Akku'!E47</f>
        <v>429.46666666666664</v>
      </c>
    </row>
    <row r="45" spans="1:6" ht="18.75">
      <c r="A45" s="193">
        <v>44</v>
      </c>
      <c r="B45" s="210" t="s">
        <v>111</v>
      </c>
      <c r="C45" s="210" t="s">
        <v>216</v>
      </c>
      <c r="D45" s="196">
        <f>Kalmár!H20</f>
        <v>437.25</v>
      </c>
      <c r="E45" s="211">
        <v>24</v>
      </c>
      <c r="F45" s="196">
        <f>Kalmár!H47</f>
        <v>428.9</v>
      </c>
    </row>
    <row r="46" spans="1:6" ht="18.75">
      <c r="A46" s="193">
        <v>45</v>
      </c>
      <c r="B46" s="210" t="s">
        <v>177</v>
      </c>
      <c r="C46" s="210" t="s">
        <v>17</v>
      </c>
      <c r="D46" s="196">
        <f>Privát!H20</f>
        <v>429.53846153846155</v>
      </c>
      <c r="E46" s="211">
        <v>43</v>
      </c>
      <c r="F46" s="196">
        <f>Privát!H47</f>
        <v>428.7692307692308</v>
      </c>
    </row>
    <row r="47" spans="1:6" ht="18.75">
      <c r="A47" s="193">
        <v>46</v>
      </c>
      <c r="B47" s="210" t="s">
        <v>201</v>
      </c>
      <c r="C47" s="210" t="s">
        <v>15</v>
      </c>
      <c r="D47" s="196">
        <f>Tápé!D20</f>
        <v>429.25</v>
      </c>
      <c r="E47" s="211">
        <v>47</v>
      </c>
      <c r="F47" s="196">
        <f>Tápé!D47</f>
        <v>428</v>
      </c>
    </row>
    <row r="48" spans="1:6" ht="18.75">
      <c r="A48" s="193">
        <v>47</v>
      </c>
      <c r="B48" s="210" t="s">
        <v>42</v>
      </c>
      <c r="C48" s="210" t="s">
        <v>26</v>
      </c>
      <c r="D48" s="196">
        <f>Kinizsi!D20</f>
        <v>420</v>
      </c>
      <c r="E48" s="211">
        <v>75</v>
      </c>
      <c r="F48" s="196">
        <f>Kinizsi!D47</f>
        <v>427.6363636363636</v>
      </c>
    </row>
    <row r="49" spans="1:6" ht="18.75">
      <c r="A49" s="193">
        <v>48</v>
      </c>
      <c r="B49" s="210" t="s">
        <v>176</v>
      </c>
      <c r="C49" s="210" t="s">
        <v>17</v>
      </c>
      <c r="D49" s="196">
        <f>Privát!G20</f>
        <v>427.09090909090907</v>
      </c>
      <c r="E49" s="211">
        <v>56</v>
      </c>
      <c r="F49" s="196">
        <f>Privát!G47</f>
        <v>427.2142857142857</v>
      </c>
    </row>
    <row r="50" spans="1:6" ht="18.75">
      <c r="A50" s="193">
        <v>49</v>
      </c>
      <c r="B50" s="210" t="s">
        <v>56</v>
      </c>
      <c r="C50" s="210" t="s">
        <v>21</v>
      </c>
      <c r="D50" s="196">
        <f>'Dél Akku'!D20</f>
        <v>428.3076923076923</v>
      </c>
      <c r="E50" s="211">
        <v>48</v>
      </c>
      <c r="F50" s="196">
        <f>'Dél Akku'!D47</f>
        <v>426.8666666666667</v>
      </c>
    </row>
    <row r="51" spans="1:6" ht="18.75">
      <c r="A51" s="193">
        <v>50</v>
      </c>
      <c r="B51" s="210" t="s">
        <v>173</v>
      </c>
      <c r="C51" s="210" t="s">
        <v>223</v>
      </c>
      <c r="D51" s="196">
        <f>'Fa-Team'!F20</f>
        <v>412.8181818181818</v>
      </c>
      <c r="E51" s="211">
        <v>91</v>
      </c>
      <c r="F51" s="196">
        <f>'Fa-Team'!F47</f>
        <v>426.7142857142857</v>
      </c>
    </row>
    <row r="52" spans="1:6" ht="18.75">
      <c r="A52" s="193">
        <v>51</v>
      </c>
      <c r="B52" s="210" t="s">
        <v>203</v>
      </c>
      <c r="C52" s="210" t="s">
        <v>24</v>
      </c>
      <c r="D52" s="196">
        <f>Amazonok!J20</f>
        <v>420.15384615384613</v>
      </c>
      <c r="E52" s="211">
        <v>74</v>
      </c>
      <c r="F52" s="196">
        <f>Amazonok!K47</f>
        <v>426.64285714285717</v>
      </c>
    </row>
    <row r="53" spans="1:6" ht="18.75">
      <c r="A53" s="193">
        <v>52</v>
      </c>
      <c r="B53" s="210" t="s">
        <v>225</v>
      </c>
      <c r="C53" s="210" t="s">
        <v>250</v>
      </c>
      <c r="D53" s="196">
        <f>Santé!J20</f>
        <v>431.90909090909093</v>
      </c>
      <c r="E53" s="211">
        <v>39</v>
      </c>
      <c r="F53" s="196">
        <f>Santé!J47</f>
        <v>426.61538461538464</v>
      </c>
    </row>
    <row r="54" spans="1:6" ht="18.75">
      <c r="A54" s="193">
        <v>53</v>
      </c>
      <c r="B54" s="210" t="s">
        <v>55</v>
      </c>
      <c r="C54" s="210" t="s">
        <v>21</v>
      </c>
      <c r="D54" s="196">
        <f>'Dél Akku'!C20</f>
        <v>431</v>
      </c>
      <c r="E54" s="211">
        <v>42</v>
      </c>
      <c r="F54" s="196">
        <f>'Dél Akku'!C47</f>
        <v>426.6</v>
      </c>
    </row>
    <row r="55" spans="1:6" ht="18.75">
      <c r="A55" s="193">
        <v>54</v>
      </c>
      <c r="B55" s="210" t="s">
        <v>242</v>
      </c>
      <c r="C55" s="210" t="s">
        <v>21</v>
      </c>
      <c r="D55" s="196">
        <f>'Dél Akku'!J20</f>
        <v>425</v>
      </c>
      <c r="E55" s="211">
        <v>59</v>
      </c>
      <c r="F55" s="196">
        <f>'Dél Akku'!J47</f>
        <v>426.42857142857144</v>
      </c>
    </row>
    <row r="56" spans="1:6" ht="18.75">
      <c r="A56" s="193">
        <v>55</v>
      </c>
      <c r="B56" s="210" t="s">
        <v>81</v>
      </c>
      <c r="C56" s="210" t="s">
        <v>214</v>
      </c>
      <c r="D56" s="196">
        <f>'Temesvári Hús'!G20</f>
        <v>436.6666666666667</v>
      </c>
      <c r="E56" s="211">
        <v>26</v>
      </c>
      <c r="F56" s="196">
        <f>'Temesvári Hús'!G47</f>
        <v>426.4</v>
      </c>
    </row>
    <row r="57" spans="1:6" ht="18.75">
      <c r="A57" s="193">
        <v>56</v>
      </c>
      <c r="B57" s="210" t="s">
        <v>33</v>
      </c>
      <c r="C57" s="210" t="s">
        <v>204</v>
      </c>
      <c r="D57" s="196">
        <f>Démász!F20</f>
        <v>411.375</v>
      </c>
      <c r="E57" s="211">
        <v>92</v>
      </c>
      <c r="F57" s="196">
        <f>Démász!F47</f>
        <v>426.1111111111111</v>
      </c>
    </row>
    <row r="58" spans="1:6" ht="18.75">
      <c r="A58" s="193">
        <v>57</v>
      </c>
      <c r="B58" s="210" t="s">
        <v>82</v>
      </c>
      <c r="C58" s="210" t="s">
        <v>214</v>
      </c>
      <c r="D58" s="196">
        <f>'Temesvári Hús'!J20</f>
        <v>418.2142857142857</v>
      </c>
      <c r="E58" s="211">
        <v>78</v>
      </c>
      <c r="F58" s="196">
        <f>'Temesvári Hús'!J47</f>
        <v>425.8</v>
      </c>
    </row>
    <row r="59" spans="1:6" ht="18.75">
      <c r="A59" s="193">
        <v>58</v>
      </c>
      <c r="B59" s="210" t="s">
        <v>64</v>
      </c>
      <c r="C59" s="210" t="s">
        <v>20</v>
      </c>
      <c r="D59" s="196">
        <f>Szefo!D20</f>
        <v>432</v>
      </c>
      <c r="E59" s="211">
        <v>38</v>
      </c>
      <c r="F59" s="196">
        <f>Szefo!D47</f>
        <v>425.8</v>
      </c>
    </row>
    <row r="60" spans="1:6" ht="18.75">
      <c r="A60" s="193">
        <v>59</v>
      </c>
      <c r="B60" s="210" t="s">
        <v>35</v>
      </c>
      <c r="C60" s="210" t="s">
        <v>24</v>
      </c>
      <c r="D60" s="196">
        <f>Amazonok!I20</f>
        <v>423.46153846153845</v>
      </c>
      <c r="E60" s="211">
        <v>64</v>
      </c>
      <c r="F60" s="196">
        <f>Amazonok!J47</f>
        <v>425.7857142857143</v>
      </c>
    </row>
    <row r="61" spans="1:6" ht="18.75">
      <c r="A61" s="193">
        <v>60</v>
      </c>
      <c r="B61" s="210" t="s">
        <v>102</v>
      </c>
      <c r="C61" s="210" t="s">
        <v>250</v>
      </c>
      <c r="D61" s="196">
        <f>Santé!H20</f>
        <v>417.14285714285717</v>
      </c>
      <c r="E61" s="211">
        <v>81</v>
      </c>
      <c r="F61" s="196">
        <f>Santé!H47</f>
        <v>425.5</v>
      </c>
    </row>
    <row r="62" spans="1:6" ht="18.75">
      <c r="A62" s="193">
        <v>61</v>
      </c>
      <c r="B62" s="210" t="s">
        <v>36</v>
      </c>
      <c r="C62" s="210" t="s">
        <v>204</v>
      </c>
      <c r="D62" s="196">
        <f>Démász!E20</f>
        <v>435.3636363636364</v>
      </c>
      <c r="E62" s="211">
        <v>31</v>
      </c>
      <c r="F62" s="196">
        <f>Démász!E47</f>
        <v>425.42857142857144</v>
      </c>
    </row>
    <row r="63" spans="1:6" ht="18.75">
      <c r="A63" s="193">
        <v>62</v>
      </c>
      <c r="B63" s="210" t="s">
        <v>108</v>
      </c>
      <c r="C63" s="210" t="s">
        <v>216</v>
      </c>
      <c r="D63" s="196">
        <f>Kalmár!D20</f>
        <v>432.5</v>
      </c>
      <c r="E63" s="211">
        <v>37</v>
      </c>
      <c r="F63" s="196">
        <f>Kalmár!D47</f>
        <v>424.75</v>
      </c>
    </row>
    <row r="64" spans="1:6" ht="18.75">
      <c r="A64" s="193">
        <v>63</v>
      </c>
      <c r="B64" s="210" t="s">
        <v>86</v>
      </c>
      <c r="C64" s="210" t="s">
        <v>252</v>
      </c>
      <c r="D64" s="196">
        <f>'Anro ker'!G20</f>
        <v>437.1</v>
      </c>
      <c r="E64" s="211">
        <v>25</v>
      </c>
      <c r="F64" s="196">
        <f>'Anro ker'!G47</f>
        <v>424.54545454545456</v>
      </c>
    </row>
    <row r="65" spans="1:6" ht="18.75">
      <c r="A65" s="193">
        <v>64</v>
      </c>
      <c r="B65" s="210" t="s">
        <v>83</v>
      </c>
      <c r="C65" s="210" t="s">
        <v>252</v>
      </c>
      <c r="D65" s="196">
        <f>'Anro ker'!D20</f>
        <v>407.7142857142857</v>
      </c>
      <c r="E65" s="211">
        <v>99</v>
      </c>
      <c r="F65" s="196">
        <f>'Anro ker'!D47</f>
        <v>423.9230769230769</v>
      </c>
    </row>
    <row r="66" spans="1:6" ht="18.75">
      <c r="A66" s="193">
        <v>65</v>
      </c>
      <c r="B66" s="210" t="s">
        <v>48</v>
      </c>
      <c r="C66" s="210" t="s">
        <v>15</v>
      </c>
      <c r="D66" s="196">
        <f>Tápé!F20</f>
        <v>440.38461538461536</v>
      </c>
      <c r="E66" s="211">
        <v>18</v>
      </c>
      <c r="F66" s="196">
        <f>Tápé!F47</f>
        <v>423.53846153846155</v>
      </c>
    </row>
    <row r="67" spans="1:6" ht="18.75">
      <c r="A67" s="193">
        <v>66</v>
      </c>
      <c r="B67" s="210" t="s">
        <v>127</v>
      </c>
      <c r="C67" s="210" t="s">
        <v>26</v>
      </c>
      <c r="D67" s="196">
        <f>Kinizsi!K20</f>
        <v>395</v>
      </c>
      <c r="E67" s="211">
        <v>121</v>
      </c>
      <c r="F67" s="196">
        <f>Kinizsi!K47</f>
        <v>423.5</v>
      </c>
    </row>
    <row r="68" spans="1:6" ht="18.75">
      <c r="A68" s="193">
        <v>67</v>
      </c>
      <c r="B68" s="210" t="s">
        <v>41</v>
      </c>
      <c r="C68" s="210" t="s">
        <v>26</v>
      </c>
      <c r="D68" s="196">
        <f>Kinizsi!C20</f>
        <v>436.3</v>
      </c>
      <c r="E68" s="211">
        <v>27</v>
      </c>
      <c r="F68" s="196">
        <f>Kinizsi!C47</f>
        <v>423.27272727272725</v>
      </c>
    </row>
    <row r="69" spans="1:6" ht="18.75">
      <c r="A69" s="193">
        <v>68</v>
      </c>
      <c r="B69" s="210" t="s">
        <v>110</v>
      </c>
      <c r="C69" s="210" t="s">
        <v>216</v>
      </c>
      <c r="D69" s="196">
        <f>Kalmár!F20</f>
        <v>424</v>
      </c>
      <c r="E69" s="211">
        <v>61</v>
      </c>
      <c r="F69" s="196">
        <f>Kalmár!F47</f>
        <v>422.875</v>
      </c>
    </row>
    <row r="70" spans="1:6" ht="18.75">
      <c r="A70" s="193">
        <v>69</v>
      </c>
      <c r="B70" s="210" t="s">
        <v>95</v>
      </c>
      <c r="C70" s="210" t="s">
        <v>18</v>
      </c>
      <c r="D70" s="196">
        <f>Phoenix!F20</f>
        <v>420.53333333333336</v>
      </c>
      <c r="E70" s="211">
        <v>73</v>
      </c>
      <c r="F70" s="196">
        <f>Phoenix!F47</f>
        <v>422.8</v>
      </c>
    </row>
    <row r="71" spans="1:6" ht="18.75">
      <c r="A71" s="193">
        <v>70</v>
      </c>
      <c r="B71" s="210" t="s">
        <v>153</v>
      </c>
      <c r="C71" s="210" t="s">
        <v>223</v>
      </c>
      <c r="D71" s="196">
        <f>'Fa-Team'!H20</f>
        <v>415.61538461538464</v>
      </c>
      <c r="E71" s="211">
        <v>85</v>
      </c>
      <c r="F71" s="196">
        <f>'Fa-Team'!H47</f>
        <v>422.14285714285717</v>
      </c>
    </row>
    <row r="72" spans="1:6" ht="18.75">
      <c r="A72" s="193">
        <v>71</v>
      </c>
      <c r="B72" s="210" t="s">
        <v>34</v>
      </c>
      <c r="C72" s="210" t="s">
        <v>253</v>
      </c>
      <c r="D72" s="196">
        <f>GLB!E20</f>
        <v>438.15384615384613</v>
      </c>
      <c r="E72" s="211">
        <v>22</v>
      </c>
      <c r="F72" s="196">
        <f>GLB!E47</f>
        <v>421.5833333333333</v>
      </c>
    </row>
    <row r="73" spans="1:6" ht="18.75">
      <c r="A73" s="193">
        <v>72</v>
      </c>
      <c r="B73" s="210" t="s">
        <v>59</v>
      </c>
      <c r="C73" s="210" t="s">
        <v>21</v>
      </c>
      <c r="D73" s="196">
        <f>'Dél Akku'!G20</f>
        <v>415.2307692307692</v>
      </c>
      <c r="E73" s="211">
        <v>87</v>
      </c>
      <c r="F73" s="196">
        <f>'Dél Akku'!G47</f>
        <v>421.57142857142856</v>
      </c>
    </row>
    <row r="74" spans="1:6" ht="18.75">
      <c r="A74" s="193">
        <v>73</v>
      </c>
      <c r="B74" s="210" t="s">
        <v>49</v>
      </c>
      <c r="C74" s="210" t="s">
        <v>15</v>
      </c>
      <c r="D74" s="196">
        <f>Tápé!G20</f>
        <v>420.72727272727275</v>
      </c>
      <c r="E74" s="211">
        <v>72</v>
      </c>
      <c r="F74" s="196">
        <f>Tápé!G47</f>
        <v>421.14285714285717</v>
      </c>
    </row>
    <row r="75" spans="1:6" ht="18.75">
      <c r="A75" s="193">
        <v>74</v>
      </c>
      <c r="B75" s="210" t="s">
        <v>79</v>
      </c>
      <c r="C75" s="210" t="s">
        <v>214</v>
      </c>
      <c r="D75" s="196">
        <f>'Temesvári Hús'!E20</f>
        <v>441.0769230769231</v>
      </c>
      <c r="E75" s="211">
        <v>17</v>
      </c>
      <c r="F75" s="196">
        <f>'Temesvári Hús'!E47</f>
        <v>420.8</v>
      </c>
    </row>
    <row r="76" spans="1:6" ht="18.75">
      <c r="A76" s="193">
        <v>75</v>
      </c>
      <c r="B76" s="210" t="s">
        <v>71</v>
      </c>
      <c r="C76" s="210" t="s">
        <v>253</v>
      </c>
      <c r="D76" s="196">
        <f>GLB!H20</f>
        <v>431.2</v>
      </c>
      <c r="E76" s="211">
        <v>41</v>
      </c>
      <c r="F76" s="196">
        <f>GLB!H47</f>
        <v>418.27272727272725</v>
      </c>
    </row>
    <row r="77" spans="1:6" ht="18.75">
      <c r="A77" s="193">
        <v>76</v>
      </c>
      <c r="B77" s="210" t="s">
        <v>120</v>
      </c>
      <c r="C77" s="210" t="s">
        <v>15</v>
      </c>
      <c r="D77" s="196">
        <f>Tápé!J20</f>
        <v>400.3333333333333</v>
      </c>
      <c r="E77" s="211">
        <v>112</v>
      </c>
      <c r="F77" s="196">
        <f>Tápé!J47</f>
        <v>418</v>
      </c>
    </row>
    <row r="78" spans="1:6" ht="18.75">
      <c r="A78" s="193">
        <v>77</v>
      </c>
      <c r="B78" s="210" t="s">
        <v>124</v>
      </c>
      <c r="C78" s="210" t="s">
        <v>253</v>
      </c>
      <c r="D78" s="196">
        <f>GLB!I20</f>
        <v>434.25</v>
      </c>
      <c r="E78" s="211">
        <v>32</v>
      </c>
      <c r="F78" s="196">
        <f>GLB!I47</f>
        <v>418</v>
      </c>
    </row>
    <row r="79" spans="1:6" ht="18.75">
      <c r="A79" s="193">
        <v>78</v>
      </c>
      <c r="B79" s="210" t="s">
        <v>46</v>
      </c>
      <c r="C79" s="210" t="s">
        <v>26</v>
      </c>
      <c r="D79" s="196">
        <f>Kinizsi!H20</f>
        <v>434</v>
      </c>
      <c r="E79" s="211">
        <v>35</v>
      </c>
      <c r="F79" s="196">
        <f>Kinizsi!H47</f>
        <v>417.4</v>
      </c>
    </row>
    <row r="80" spans="1:6" ht="18.75">
      <c r="A80" s="193">
        <v>79</v>
      </c>
      <c r="B80" s="210" t="s">
        <v>80</v>
      </c>
      <c r="C80" s="210" t="s">
        <v>214</v>
      </c>
      <c r="D80" s="196">
        <f>'Temesvári Hús'!F20</f>
        <v>423.06666666666666</v>
      </c>
      <c r="E80" s="211">
        <v>65</v>
      </c>
      <c r="F80" s="196">
        <f>'Temesvári Hús'!F47</f>
        <v>417.07142857142856</v>
      </c>
    </row>
    <row r="81" spans="1:6" ht="18.75">
      <c r="A81" s="193">
        <v>80</v>
      </c>
      <c r="B81" s="210" t="s">
        <v>246</v>
      </c>
      <c r="C81" s="210" t="s">
        <v>252</v>
      </c>
      <c r="D81" s="196">
        <f>'Anro ker'!L20</f>
        <v>399.8888888888889</v>
      </c>
      <c r="E81" s="211">
        <v>114</v>
      </c>
      <c r="F81" s="196">
        <f>'Anro ker'!L47</f>
        <v>417</v>
      </c>
    </row>
    <row r="82" spans="1:6" ht="18.75">
      <c r="A82" s="193">
        <v>81</v>
      </c>
      <c r="B82" s="210" t="s">
        <v>200</v>
      </c>
      <c r="C82" s="210" t="s">
        <v>18</v>
      </c>
      <c r="D82" s="196">
        <f>Phoenix!K20</f>
        <v>421.2142857142857</v>
      </c>
      <c r="E82" s="211">
        <v>69</v>
      </c>
      <c r="F82" s="196">
        <f>Phoenix!K47</f>
        <v>416.8666666666667</v>
      </c>
    </row>
    <row r="83" spans="1:6" ht="18.75">
      <c r="A83" s="193">
        <v>82</v>
      </c>
      <c r="B83" s="210" t="s">
        <v>181</v>
      </c>
      <c r="C83" s="210" t="s">
        <v>204</v>
      </c>
      <c r="D83" s="196">
        <f>Démász!G20</f>
        <v>422.625</v>
      </c>
      <c r="E83" s="211">
        <v>66</v>
      </c>
      <c r="F83" s="196">
        <f>Démász!G47</f>
        <v>416.25</v>
      </c>
    </row>
    <row r="84" spans="1:6" ht="18.75">
      <c r="A84" s="193">
        <v>83</v>
      </c>
      <c r="B84" s="210" t="s">
        <v>44</v>
      </c>
      <c r="C84" s="210" t="s">
        <v>26</v>
      </c>
      <c r="D84" s="196">
        <f>Kinizsi!F20</f>
        <v>427.8333333333333</v>
      </c>
      <c r="E84" s="211">
        <v>52</v>
      </c>
      <c r="F84" s="196">
        <f>Kinizsi!F47</f>
        <v>416.14285714285717</v>
      </c>
    </row>
    <row r="85" spans="1:6" ht="18.75">
      <c r="A85" s="193">
        <v>84</v>
      </c>
      <c r="B85" s="210" t="s">
        <v>77</v>
      </c>
      <c r="C85" s="210" t="s">
        <v>214</v>
      </c>
      <c r="D85" s="196">
        <f>'Temesvári Hús'!C20</f>
        <v>425.07142857142856</v>
      </c>
      <c r="E85" s="211">
        <v>58</v>
      </c>
      <c r="F85" s="196">
        <f>'Temesvári Hús'!C47</f>
        <v>416.0833333333333</v>
      </c>
    </row>
    <row r="86" spans="1:6" ht="18.75">
      <c r="A86" s="193">
        <v>85</v>
      </c>
      <c r="B86" s="210" t="s">
        <v>107</v>
      </c>
      <c r="C86" s="210" t="s">
        <v>20</v>
      </c>
      <c r="D86" s="196">
        <f>Szefo!L20</f>
        <v>439.93333333333334</v>
      </c>
      <c r="E86" s="211">
        <v>19</v>
      </c>
      <c r="F86" s="196">
        <f>Szefo!L47</f>
        <v>415.54545454545456</v>
      </c>
    </row>
    <row r="87" spans="1:6" ht="18.75">
      <c r="A87" s="193">
        <v>86</v>
      </c>
      <c r="B87" s="210" t="s">
        <v>62</v>
      </c>
      <c r="C87" s="210" t="s">
        <v>20</v>
      </c>
      <c r="D87" s="196">
        <f>Szefo!G20</f>
        <v>406</v>
      </c>
      <c r="E87" s="211">
        <v>103</v>
      </c>
      <c r="F87" s="196">
        <f>Szefo!G47</f>
        <v>415</v>
      </c>
    </row>
    <row r="88" spans="1:6" ht="18.75">
      <c r="A88" s="193">
        <v>87</v>
      </c>
      <c r="B88" s="210" t="s">
        <v>85</v>
      </c>
      <c r="C88" s="210" t="s">
        <v>252</v>
      </c>
      <c r="D88" s="196">
        <f>'Anro ker'!F20</f>
        <v>410.9166666666667</v>
      </c>
      <c r="E88" s="211">
        <v>94</v>
      </c>
      <c r="F88" s="196">
        <f>'Anro ker'!F47</f>
        <v>415</v>
      </c>
    </row>
    <row r="89" spans="1:6" ht="18.75">
      <c r="A89" s="193">
        <v>88</v>
      </c>
      <c r="B89" s="210" t="s">
        <v>233</v>
      </c>
      <c r="C89" s="210" t="s">
        <v>218</v>
      </c>
      <c r="D89" s="196">
        <f>Euroteke!R20</f>
        <v>403.2</v>
      </c>
      <c r="E89" s="211">
        <v>109</v>
      </c>
      <c r="F89" s="196">
        <f>Euroteke!R47</f>
        <v>414.8888888888889</v>
      </c>
    </row>
    <row r="90" spans="1:6" ht="18.75">
      <c r="A90" s="193">
        <v>89</v>
      </c>
      <c r="B90" s="210" t="s">
        <v>87</v>
      </c>
      <c r="C90" s="210" t="s">
        <v>252</v>
      </c>
      <c r="D90" s="196">
        <f>'Anro ker'!H20</f>
        <v>404.8333333333333</v>
      </c>
      <c r="E90" s="211">
        <v>105</v>
      </c>
      <c r="F90" s="196">
        <f>'Anro ker'!H47</f>
        <v>414.85714285714283</v>
      </c>
    </row>
    <row r="91" spans="1:6" ht="18.75">
      <c r="A91" s="193">
        <v>90</v>
      </c>
      <c r="B91" s="210" t="s">
        <v>115</v>
      </c>
      <c r="C91" s="210" t="s">
        <v>253</v>
      </c>
      <c r="D91" s="196">
        <f>GLB!C20</f>
        <v>431.25</v>
      </c>
      <c r="E91" s="211">
        <v>40</v>
      </c>
      <c r="F91" s="196">
        <f>GLB!C47</f>
        <v>414.6363636363636</v>
      </c>
    </row>
    <row r="92" spans="1:6" ht="18.75">
      <c r="A92" s="193">
        <v>91</v>
      </c>
      <c r="B92" s="210" t="s">
        <v>73</v>
      </c>
      <c r="C92" s="210" t="s">
        <v>250</v>
      </c>
      <c r="D92" s="196">
        <f>Santé!D20</f>
        <v>416</v>
      </c>
      <c r="E92" s="211">
        <v>83</v>
      </c>
      <c r="F92" s="196">
        <f>Santé!D47</f>
        <v>414.46153846153845</v>
      </c>
    </row>
    <row r="93" spans="1:6" ht="18.75">
      <c r="A93" s="193">
        <v>92</v>
      </c>
      <c r="B93" s="210" t="s">
        <v>66</v>
      </c>
      <c r="C93" s="210" t="s">
        <v>24</v>
      </c>
      <c r="D93" s="196">
        <f>Amazonok!E20</f>
        <v>401.8</v>
      </c>
      <c r="E93" s="211">
        <v>111</v>
      </c>
      <c r="F93" s="196">
        <f>Amazonok!F47</f>
        <v>414.2</v>
      </c>
    </row>
    <row r="94" spans="1:6" ht="18.75">
      <c r="A94" s="193">
        <v>93</v>
      </c>
      <c r="B94" s="210" t="s">
        <v>54</v>
      </c>
      <c r="C94" s="210" t="s">
        <v>218</v>
      </c>
      <c r="D94" s="196">
        <f>Euroteke!I20</f>
        <v>428.1818181818182</v>
      </c>
      <c r="E94" s="211">
        <v>50</v>
      </c>
      <c r="F94" s="196">
        <f>Euroteke!I47</f>
        <v>414.1</v>
      </c>
    </row>
    <row r="95" spans="1:6" ht="18.75">
      <c r="A95" s="193">
        <v>94</v>
      </c>
      <c r="B95" s="210" t="s">
        <v>99</v>
      </c>
      <c r="C95" s="210" t="s">
        <v>18</v>
      </c>
      <c r="D95" s="196">
        <f>Phoenix!I20</f>
        <v>419.07142857142856</v>
      </c>
      <c r="E95" s="211">
        <v>76</v>
      </c>
      <c r="F95" s="196">
        <f>Phoenix!I47</f>
        <v>414</v>
      </c>
    </row>
    <row r="96" spans="1:6" ht="18.75">
      <c r="A96" s="193">
        <v>95</v>
      </c>
      <c r="B96" s="210" t="s">
        <v>97</v>
      </c>
      <c r="C96" s="210" t="s">
        <v>18</v>
      </c>
      <c r="D96" s="196">
        <f>Phoenix!H20</f>
        <v>413</v>
      </c>
      <c r="E96" s="211">
        <v>90</v>
      </c>
      <c r="F96" s="196">
        <f>Phoenix!I47</f>
        <v>414</v>
      </c>
    </row>
    <row r="97" spans="1:6" ht="18.75">
      <c r="A97" s="193">
        <v>96</v>
      </c>
      <c r="B97" s="210" t="s">
        <v>58</v>
      </c>
      <c r="C97" s="210" t="s">
        <v>21</v>
      </c>
      <c r="D97" s="196">
        <f>'Dél Akku'!F20</f>
        <v>421.1333333333333</v>
      </c>
      <c r="E97" s="211">
        <v>70</v>
      </c>
      <c r="F97" s="196">
        <f>'Dél Akku'!F47</f>
        <v>413</v>
      </c>
    </row>
    <row r="98" spans="1:6" ht="18.75">
      <c r="A98" s="193">
        <v>97</v>
      </c>
      <c r="B98" s="210" t="s">
        <v>101</v>
      </c>
      <c r="C98" s="210" t="s">
        <v>214</v>
      </c>
      <c r="D98" s="196">
        <f>'Temesvári Hús'!K20</f>
        <v>422.57142857142856</v>
      </c>
      <c r="E98" s="211">
        <v>67</v>
      </c>
      <c r="F98" s="196">
        <f>'Temesvári Hús'!K47</f>
        <v>412.22222222222223</v>
      </c>
    </row>
    <row r="99" spans="1:6" ht="18.75">
      <c r="A99" s="193">
        <v>98</v>
      </c>
      <c r="B99" s="210" t="s">
        <v>197</v>
      </c>
      <c r="C99" s="210" t="s">
        <v>204</v>
      </c>
      <c r="D99" s="196">
        <f>Démász!M20</f>
        <v>400.125</v>
      </c>
      <c r="E99" s="211">
        <v>113</v>
      </c>
      <c r="F99" s="196">
        <f>Démász!M47</f>
        <v>411.875</v>
      </c>
    </row>
    <row r="100" spans="1:6" ht="18.75">
      <c r="A100" s="193">
        <v>99</v>
      </c>
      <c r="B100" s="210" t="s">
        <v>70</v>
      </c>
      <c r="C100" s="210" t="s">
        <v>223</v>
      </c>
      <c r="D100" s="196">
        <f>'Fa-Team'!D20</f>
        <v>414.07142857142856</v>
      </c>
      <c r="E100" s="211">
        <v>88</v>
      </c>
      <c r="F100" s="196">
        <f>'Fa-Team'!D47</f>
        <v>411.75</v>
      </c>
    </row>
    <row r="101" spans="1:6" ht="18.75">
      <c r="A101" s="193">
        <v>100</v>
      </c>
      <c r="B101" s="210" t="s">
        <v>122</v>
      </c>
      <c r="C101" s="210" t="s">
        <v>21</v>
      </c>
      <c r="D101" s="196">
        <f>'Dél Akku'!I20</f>
        <v>416.6</v>
      </c>
      <c r="E101" s="211">
        <v>82</v>
      </c>
      <c r="F101" s="196">
        <f>'Dél Akku'!I47</f>
        <v>411.5</v>
      </c>
    </row>
    <row r="102" spans="1:6" ht="18.75">
      <c r="A102" s="193">
        <v>101</v>
      </c>
      <c r="B102" s="210" t="s">
        <v>67</v>
      </c>
      <c r="C102" s="210" t="s">
        <v>24</v>
      </c>
      <c r="D102" s="196">
        <f>Amazonok!F20</f>
        <v>406.90909090909093</v>
      </c>
      <c r="E102" s="211">
        <v>100</v>
      </c>
      <c r="F102" s="196">
        <f>Amazonok!G47</f>
        <v>411.25</v>
      </c>
    </row>
    <row r="103" spans="1:6" ht="18.75">
      <c r="A103" s="193">
        <v>102</v>
      </c>
      <c r="B103" s="210" t="s">
        <v>91</v>
      </c>
      <c r="C103" s="210" t="s">
        <v>253</v>
      </c>
      <c r="D103" s="196">
        <f>GLB!G20</f>
        <v>415.45454545454544</v>
      </c>
      <c r="E103" s="211">
        <v>86</v>
      </c>
      <c r="F103" s="196">
        <f>GLB!G47</f>
        <v>411.1111111111111</v>
      </c>
    </row>
    <row r="104" spans="1:6" ht="18.75">
      <c r="A104" s="193">
        <v>103</v>
      </c>
      <c r="B104" s="210" t="s">
        <v>125</v>
      </c>
      <c r="C104" s="210" t="s">
        <v>20</v>
      </c>
      <c r="D104" s="196">
        <f>Szefo!K20</f>
        <v>406.77777777777777</v>
      </c>
      <c r="E104" s="211">
        <v>101</v>
      </c>
      <c r="F104" s="196">
        <f>Szefo!K47</f>
        <v>410.9166666666667</v>
      </c>
    </row>
    <row r="105" spans="1:6" ht="18.75">
      <c r="A105" s="193">
        <v>104</v>
      </c>
      <c r="B105" s="210" t="s">
        <v>100</v>
      </c>
      <c r="C105" s="210" t="s">
        <v>223</v>
      </c>
      <c r="D105" s="196">
        <f>'Fa-Team'!G20</f>
        <v>404.72727272727275</v>
      </c>
      <c r="E105" s="211">
        <v>106</v>
      </c>
      <c r="F105" s="196">
        <f>'Fa-Team'!G47</f>
        <v>410.75</v>
      </c>
    </row>
    <row r="106" spans="1:6" ht="18.75">
      <c r="A106" s="193">
        <v>105</v>
      </c>
      <c r="B106" s="210" t="s">
        <v>68</v>
      </c>
      <c r="C106" s="210" t="s">
        <v>24</v>
      </c>
      <c r="D106" s="196">
        <f>Amazonok!G20</f>
        <v>408.7142857142857</v>
      </c>
      <c r="E106" s="211">
        <v>98</v>
      </c>
      <c r="F106" s="196">
        <f>Amazonok!H47</f>
        <v>408.8</v>
      </c>
    </row>
    <row r="107" spans="1:6" ht="18.75">
      <c r="A107" s="193">
        <v>106</v>
      </c>
      <c r="B107" s="210" t="s">
        <v>185</v>
      </c>
      <c r="C107" s="210" t="s">
        <v>204</v>
      </c>
      <c r="D107" s="196">
        <f>Démász!K20</f>
        <v>403.2</v>
      </c>
      <c r="E107" s="211">
        <v>110</v>
      </c>
      <c r="F107" s="196">
        <f>Démász!K47</f>
        <v>408.625</v>
      </c>
    </row>
    <row r="108" spans="1:6" ht="18.75">
      <c r="A108" s="193">
        <v>107</v>
      </c>
      <c r="B108" s="210" t="s">
        <v>119</v>
      </c>
      <c r="C108" s="210" t="s">
        <v>218</v>
      </c>
      <c r="D108" s="196">
        <f>Euroteke!F20</f>
        <v>395.3333333333333</v>
      </c>
      <c r="E108" s="211">
        <v>119</v>
      </c>
      <c r="F108" s="196">
        <f>Euroteke!F47</f>
        <v>408</v>
      </c>
    </row>
    <row r="109" spans="1:6" ht="18.75">
      <c r="A109" s="193">
        <v>108</v>
      </c>
      <c r="B109" s="210" t="s">
        <v>207</v>
      </c>
      <c r="C109" s="210" t="s">
        <v>22</v>
      </c>
      <c r="D109" s="196">
        <f>Postás!G20</f>
        <v>417.5</v>
      </c>
      <c r="E109" s="211">
        <v>80</v>
      </c>
      <c r="F109" s="196">
        <f>Postás!G47</f>
        <v>407.42857142857144</v>
      </c>
    </row>
    <row r="110" spans="1:6" ht="18.75">
      <c r="A110" s="193">
        <v>109</v>
      </c>
      <c r="B110" s="210" t="s">
        <v>60</v>
      </c>
      <c r="C110" s="210" t="s">
        <v>21</v>
      </c>
      <c r="D110" s="196">
        <f>'Dél Akku'!H20</f>
        <v>406</v>
      </c>
      <c r="E110" s="211">
        <v>104</v>
      </c>
      <c r="F110" s="196">
        <f>'Dél Akku'!H47</f>
        <v>406</v>
      </c>
    </row>
    <row r="111" spans="1:6" ht="18.75">
      <c r="A111" s="193">
        <v>110</v>
      </c>
      <c r="B111" s="210" t="s">
        <v>121</v>
      </c>
      <c r="C111" s="210" t="s">
        <v>15</v>
      </c>
      <c r="D111" s="196">
        <f>Tápé!K20</f>
        <v>420.9</v>
      </c>
      <c r="E111" s="211">
        <v>71</v>
      </c>
      <c r="F111" s="196">
        <f>Tápé!K47</f>
        <v>405.75</v>
      </c>
    </row>
    <row r="112" spans="1:6" ht="18.75">
      <c r="A112" s="193">
        <v>111</v>
      </c>
      <c r="B112" s="210" t="s">
        <v>88</v>
      </c>
      <c r="C112" s="210" t="s">
        <v>22</v>
      </c>
      <c r="D112" s="196">
        <f>Postás!C20</f>
        <v>415.8</v>
      </c>
      <c r="E112" s="211">
        <v>84</v>
      </c>
      <c r="F112" s="196">
        <f>Postás!C47</f>
        <v>405.57142857142856</v>
      </c>
    </row>
    <row r="113" spans="1:6" ht="18.75">
      <c r="A113" s="193">
        <v>112</v>
      </c>
      <c r="B113" s="210" t="s">
        <v>106</v>
      </c>
      <c r="C113" s="210" t="s">
        <v>216</v>
      </c>
      <c r="D113" s="196">
        <f>Kalmár!C20</f>
        <v>0</v>
      </c>
      <c r="E113" s="211">
        <v>156</v>
      </c>
      <c r="F113" s="196">
        <f>Kalmár!C47</f>
        <v>405</v>
      </c>
    </row>
    <row r="114" spans="1:6" ht="18.75">
      <c r="A114" s="193">
        <v>113</v>
      </c>
      <c r="B114" s="210" t="s">
        <v>172</v>
      </c>
      <c r="C114" s="210" t="s">
        <v>223</v>
      </c>
      <c r="D114" s="196">
        <f>'Fa-Team'!E20</f>
        <v>396.7142857142857</v>
      </c>
      <c r="E114" s="211">
        <v>116</v>
      </c>
      <c r="F114" s="196">
        <f>'Fa-Team'!E47</f>
        <v>404</v>
      </c>
    </row>
    <row r="115" spans="1:6" ht="18.75">
      <c r="A115" s="193">
        <v>114</v>
      </c>
      <c r="B115" s="220" t="s">
        <v>291</v>
      </c>
      <c r="C115" s="210" t="s">
        <v>218</v>
      </c>
      <c r="D115" s="193" t="s">
        <v>284</v>
      </c>
      <c r="E115" s="217" t="s">
        <v>284</v>
      </c>
      <c r="F115" s="196">
        <f>Euroteke!J47</f>
        <v>403.4</v>
      </c>
    </row>
    <row r="116" spans="1:6" ht="18.75">
      <c r="A116" s="193">
        <v>115</v>
      </c>
      <c r="B116" s="210" t="s">
        <v>75</v>
      </c>
      <c r="C116" s="210" t="s">
        <v>250</v>
      </c>
      <c r="D116" s="196">
        <f>Santé!F20</f>
        <v>423.75</v>
      </c>
      <c r="E116" s="211">
        <v>63</v>
      </c>
      <c r="F116" s="196">
        <f>Santé!F47</f>
        <v>402.0833333333333</v>
      </c>
    </row>
    <row r="117" spans="1:6" ht="18.75">
      <c r="A117" s="193">
        <v>116</v>
      </c>
      <c r="B117" s="210" t="s">
        <v>105</v>
      </c>
      <c r="C117" s="210" t="s">
        <v>22</v>
      </c>
      <c r="D117" s="196">
        <f>Postás!H20</f>
        <v>404.3076923076923</v>
      </c>
      <c r="E117" s="211">
        <v>107</v>
      </c>
      <c r="F117" s="196">
        <f>Postás!H47</f>
        <v>401.1818181818182</v>
      </c>
    </row>
    <row r="118" spans="1:6" ht="18.75">
      <c r="A118" s="193">
        <v>117</v>
      </c>
      <c r="B118" s="210" t="s">
        <v>183</v>
      </c>
      <c r="C118" s="210" t="s">
        <v>204</v>
      </c>
      <c r="D118" s="196">
        <f>Démász!I20</f>
        <v>409.27272727272725</v>
      </c>
      <c r="E118" s="211">
        <v>97</v>
      </c>
      <c r="F118" s="196">
        <f>Démász!I47</f>
        <v>399.8888888888889</v>
      </c>
    </row>
    <row r="119" spans="1:6" ht="18.75">
      <c r="A119" s="193">
        <v>118</v>
      </c>
      <c r="B119" s="210" t="s">
        <v>180</v>
      </c>
      <c r="C119" s="210" t="s">
        <v>204</v>
      </c>
      <c r="D119" s="196">
        <f>Démász!D20</f>
        <v>413.45454545454544</v>
      </c>
      <c r="E119" s="211">
        <v>89</v>
      </c>
      <c r="F119" s="196">
        <f>Démász!D47</f>
        <v>399</v>
      </c>
    </row>
    <row r="120" spans="1:6" ht="18.75">
      <c r="A120" s="193">
        <v>119</v>
      </c>
      <c r="B120" s="210" t="s">
        <v>178</v>
      </c>
      <c r="C120" s="210" t="s">
        <v>253</v>
      </c>
      <c r="D120" s="196">
        <f>GLB!J20</f>
        <v>410.8888888888889</v>
      </c>
      <c r="E120" s="211">
        <v>95</v>
      </c>
      <c r="F120" s="196">
        <f>GLB!J47</f>
        <v>398.875</v>
      </c>
    </row>
    <row r="121" spans="1:6" ht="18.75">
      <c r="A121" s="193">
        <v>120</v>
      </c>
      <c r="B121" s="210" t="s">
        <v>131</v>
      </c>
      <c r="C121" s="210" t="s">
        <v>22</v>
      </c>
      <c r="D121" s="196">
        <f>Postás!J20</f>
        <v>0</v>
      </c>
      <c r="E121" s="211">
        <v>142</v>
      </c>
      <c r="F121" s="196">
        <f>Postás!J47</f>
        <v>397.375</v>
      </c>
    </row>
    <row r="122" spans="1:6" ht="18.75">
      <c r="A122" s="193">
        <v>121</v>
      </c>
      <c r="B122" s="210" t="s">
        <v>90</v>
      </c>
      <c r="C122" s="210" t="s">
        <v>22</v>
      </c>
      <c r="D122" s="196">
        <f>Postás!E20</f>
        <v>404.22222222222223</v>
      </c>
      <c r="E122" s="211">
        <v>108</v>
      </c>
      <c r="F122" s="196">
        <f>Postás!E47</f>
        <v>396.22222222222223</v>
      </c>
    </row>
    <row r="123" spans="1:6" ht="18.75">
      <c r="A123" s="193">
        <v>122</v>
      </c>
      <c r="B123" s="210" t="s">
        <v>234</v>
      </c>
      <c r="C123" s="210" t="s">
        <v>218</v>
      </c>
      <c r="D123" s="196">
        <f>Euroteke!S20</f>
        <v>387.4</v>
      </c>
      <c r="E123" s="211">
        <v>124</v>
      </c>
      <c r="F123" s="196">
        <f>Euroteke!S47</f>
        <v>394</v>
      </c>
    </row>
    <row r="124" spans="1:6" ht="18.75">
      <c r="A124" s="193">
        <v>123</v>
      </c>
      <c r="B124" s="210" t="s">
        <v>179</v>
      </c>
      <c r="C124" s="210" t="s">
        <v>204</v>
      </c>
      <c r="D124" s="196">
        <f>Démász!C20</f>
        <v>394.4</v>
      </c>
      <c r="E124" s="211">
        <v>122</v>
      </c>
      <c r="F124" s="196">
        <f>Démász!C47</f>
        <v>392.6</v>
      </c>
    </row>
    <row r="125" spans="1:6" ht="18.75">
      <c r="A125" s="193">
        <v>124</v>
      </c>
      <c r="B125" s="210" t="s">
        <v>171</v>
      </c>
      <c r="C125" s="210" t="s">
        <v>223</v>
      </c>
      <c r="D125" s="196">
        <f>'Fa-Team'!C20</f>
        <v>395.55555555555554</v>
      </c>
      <c r="E125" s="211">
        <v>117</v>
      </c>
      <c r="F125" s="196">
        <f>'Fa-Team'!C47</f>
        <v>392</v>
      </c>
    </row>
    <row r="126" spans="1:6" ht="18.75">
      <c r="A126" s="193">
        <v>125</v>
      </c>
      <c r="B126" s="210" t="s">
        <v>89</v>
      </c>
      <c r="C126" s="210" t="s">
        <v>22</v>
      </c>
      <c r="D126" s="196">
        <f>Postás!D20</f>
        <v>384.1818181818182</v>
      </c>
      <c r="E126" s="211">
        <v>126</v>
      </c>
      <c r="F126" s="196">
        <f>Postás!D47</f>
        <v>390.8333333333333</v>
      </c>
    </row>
    <row r="127" spans="1:6" ht="18.75">
      <c r="A127" s="193">
        <v>126</v>
      </c>
      <c r="B127" s="210" t="s">
        <v>126</v>
      </c>
      <c r="C127" s="210" t="s">
        <v>214</v>
      </c>
      <c r="D127" s="196">
        <f>'Temesvári Hús'!I20</f>
        <v>411</v>
      </c>
      <c r="E127" s="211">
        <v>93</v>
      </c>
      <c r="F127" s="196">
        <f>'Temesvári Hús'!I47</f>
        <v>390.1111111111111</v>
      </c>
    </row>
    <row r="128" spans="1:6" ht="18.75">
      <c r="A128" s="193">
        <v>127</v>
      </c>
      <c r="B128" s="210" t="s">
        <v>226</v>
      </c>
      <c r="C128" s="210" t="s">
        <v>218</v>
      </c>
      <c r="D128" s="196">
        <f>Euroteke!C20</f>
        <v>355.125</v>
      </c>
      <c r="E128" s="211">
        <v>136</v>
      </c>
      <c r="F128" s="196">
        <f>Euroteke!C47</f>
        <v>388.8</v>
      </c>
    </row>
    <row r="129" spans="1:6" ht="18.75">
      <c r="A129" s="193">
        <v>128</v>
      </c>
      <c r="B129" s="210" t="s">
        <v>184</v>
      </c>
      <c r="C129" s="210" t="s">
        <v>204</v>
      </c>
      <c r="D129" s="196">
        <f>Démász!J20</f>
        <v>373.85714285714283</v>
      </c>
      <c r="E129" s="211">
        <v>130</v>
      </c>
      <c r="F129" s="196">
        <f>Démász!J47</f>
        <v>388</v>
      </c>
    </row>
    <row r="130" spans="1:6" ht="18.75">
      <c r="A130" s="193">
        <v>129</v>
      </c>
      <c r="B130" s="210" t="s">
        <v>239</v>
      </c>
      <c r="C130" s="210" t="s">
        <v>218</v>
      </c>
      <c r="D130" s="196">
        <f>Euroteke!P20</f>
        <v>390.38461538461536</v>
      </c>
      <c r="E130" s="211">
        <v>123</v>
      </c>
      <c r="F130" s="196">
        <f>Euroteke!P47</f>
        <v>384.125</v>
      </c>
    </row>
    <row r="131" spans="1:6" ht="18.75">
      <c r="A131" s="193">
        <v>130</v>
      </c>
      <c r="B131" s="210" t="s">
        <v>228</v>
      </c>
      <c r="C131" s="210" t="s">
        <v>218</v>
      </c>
      <c r="D131" s="196">
        <f>Euroteke!E20</f>
        <v>342.6666666666667</v>
      </c>
      <c r="E131" s="211">
        <v>139</v>
      </c>
      <c r="F131" s="196">
        <f>Euroteke!E47</f>
        <v>382.0769230769231</v>
      </c>
    </row>
    <row r="132" spans="1:6" ht="18.75">
      <c r="A132" s="193">
        <v>131</v>
      </c>
      <c r="B132" s="210" t="s">
        <v>103</v>
      </c>
      <c r="C132" s="210" t="s">
        <v>250</v>
      </c>
      <c r="D132" s="196">
        <f>Santé!I20</f>
        <v>0</v>
      </c>
      <c r="E132" s="211">
        <v>144</v>
      </c>
      <c r="F132" s="196">
        <f>Santé!I47</f>
        <v>381</v>
      </c>
    </row>
    <row r="133" spans="1:6" ht="18.75">
      <c r="A133" s="193">
        <v>132</v>
      </c>
      <c r="B133" s="210" t="s">
        <v>104</v>
      </c>
      <c r="C133" s="210" t="s">
        <v>22</v>
      </c>
      <c r="D133" s="196">
        <f>Postás!I20</f>
        <v>406.22222222222223</v>
      </c>
      <c r="E133" s="211">
        <v>102</v>
      </c>
      <c r="F133" s="196">
        <f>Postás!I47</f>
        <v>380.25</v>
      </c>
    </row>
    <row r="134" spans="1:6" ht="18.75">
      <c r="A134" s="193">
        <v>133</v>
      </c>
      <c r="B134" s="210" t="s">
        <v>202</v>
      </c>
      <c r="C134" s="210" t="s">
        <v>22</v>
      </c>
      <c r="D134" s="196">
        <f>Postás!K20</f>
        <v>386.55555555555554</v>
      </c>
      <c r="E134" s="211">
        <v>125</v>
      </c>
      <c r="F134" s="196">
        <f>Postás!K47</f>
        <v>378.375</v>
      </c>
    </row>
    <row r="135" spans="1:6" ht="18.75">
      <c r="A135" s="193">
        <v>134</v>
      </c>
      <c r="B135" s="210" t="s">
        <v>238</v>
      </c>
      <c r="C135" s="210" t="s">
        <v>218</v>
      </c>
      <c r="D135" s="196">
        <f>Euroteke!O20</f>
        <v>395.0833333333333</v>
      </c>
      <c r="E135" s="211">
        <v>120</v>
      </c>
      <c r="F135" s="196">
        <f>Euroteke!O47</f>
        <v>377.5</v>
      </c>
    </row>
    <row r="136" spans="1:6" ht="18.75">
      <c r="A136" s="193">
        <v>135</v>
      </c>
      <c r="B136" s="215" t="s">
        <v>287</v>
      </c>
      <c r="C136" s="212" t="s">
        <v>23</v>
      </c>
      <c r="D136" s="196" t="s">
        <v>284</v>
      </c>
      <c r="E136" s="211" t="s">
        <v>284</v>
      </c>
      <c r="F136" s="196">
        <f>Santé!L47</f>
        <v>377</v>
      </c>
    </row>
    <row r="137" spans="1:6" ht="18.75">
      <c r="A137" s="193">
        <v>136</v>
      </c>
      <c r="B137" s="210" t="s">
        <v>119</v>
      </c>
      <c r="C137" s="210" t="s">
        <v>22</v>
      </c>
      <c r="D137" s="196">
        <f>Postás!F20</f>
        <v>374.3333333333333</v>
      </c>
      <c r="E137" s="211">
        <v>129</v>
      </c>
      <c r="F137" s="196">
        <f>Postás!F47</f>
        <v>377</v>
      </c>
    </row>
    <row r="138" spans="1:6" ht="18.75">
      <c r="A138" s="193">
        <v>137</v>
      </c>
      <c r="B138" s="216" t="s">
        <v>290</v>
      </c>
      <c r="C138" s="212" t="s">
        <v>21</v>
      </c>
      <c r="D138" s="193" t="s">
        <v>284</v>
      </c>
      <c r="E138" s="217" t="s">
        <v>284</v>
      </c>
      <c r="F138" s="196">
        <f>'Dél Akku'!L47</f>
        <v>373</v>
      </c>
    </row>
    <row r="139" spans="1:6" ht="18.75">
      <c r="A139" s="193">
        <v>138</v>
      </c>
      <c r="B139" s="210" t="s">
        <v>78</v>
      </c>
      <c r="C139" s="210" t="s">
        <v>214</v>
      </c>
      <c r="D139" s="196">
        <f>'Temesvári Hús'!D20</f>
        <v>377</v>
      </c>
      <c r="E139" s="211">
        <v>127</v>
      </c>
      <c r="F139" s="196">
        <f>'Temesvári Hús'!D47</f>
        <v>372.57142857142856</v>
      </c>
    </row>
    <row r="140" spans="1:6" ht="18.75">
      <c r="A140" s="193">
        <v>139</v>
      </c>
      <c r="B140" s="220" t="s">
        <v>292</v>
      </c>
      <c r="C140" s="210" t="s">
        <v>218</v>
      </c>
      <c r="D140" s="193" t="s">
        <v>284</v>
      </c>
      <c r="E140" s="217" t="s">
        <v>284</v>
      </c>
      <c r="F140" s="196">
        <f>Euroteke!M47</f>
        <v>358</v>
      </c>
    </row>
    <row r="141" spans="1:6" ht="18.75">
      <c r="A141" s="193">
        <v>140</v>
      </c>
      <c r="B141" s="210" t="s">
        <v>229</v>
      </c>
      <c r="C141" s="210" t="s">
        <v>218</v>
      </c>
      <c r="D141" s="196">
        <f>Euroteke!G20</f>
        <v>368.3</v>
      </c>
      <c r="E141" s="211">
        <v>133</v>
      </c>
      <c r="F141" s="196">
        <f>Euroteke!G47</f>
        <v>352</v>
      </c>
    </row>
    <row r="142" spans="1:6" ht="18.75">
      <c r="A142" s="193">
        <v>141</v>
      </c>
      <c r="B142" s="210" t="s">
        <v>205</v>
      </c>
      <c r="C142" s="210" t="s">
        <v>214</v>
      </c>
      <c r="D142" s="196">
        <f>'Temesvári Hús'!L20</f>
        <v>0</v>
      </c>
      <c r="E142" s="211">
        <v>150</v>
      </c>
      <c r="F142" s="196">
        <f>'Temesvári Hús'!L47</f>
        <v>351.5</v>
      </c>
    </row>
    <row r="143" spans="1:6" ht="18.75">
      <c r="A143" s="193">
        <v>142</v>
      </c>
      <c r="B143" s="210" t="s">
        <v>61</v>
      </c>
      <c r="C143" s="210" t="s">
        <v>20</v>
      </c>
      <c r="D143" s="196">
        <f>Szefo!H20</f>
        <v>373</v>
      </c>
      <c r="E143" s="211">
        <v>131</v>
      </c>
      <c r="F143" s="196">
        <f>Szefo!H47</f>
        <v>350</v>
      </c>
    </row>
    <row r="144" spans="1:6" ht="18.75">
      <c r="A144" s="193">
        <v>143</v>
      </c>
      <c r="B144" s="210" t="s">
        <v>94</v>
      </c>
      <c r="C144" s="210" t="s">
        <v>18</v>
      </c>
      <c r="D144" s="196">
        <f>Phoenix!E20</f>
        <v>352.6666666666667</v>
      </c>
      <c r="E144" s="211">
        <v>137</v>
      </c>
      <c r="F144" s="196">
        <f>Phoenix!E47</f>
        <v>346.6</v>
      </c>
    </row>
    <row r="145" spans="1:6" ht="18.75">
      <c r="A145" s="193">
        <v>144</v>
      </c>
      <c r="B145" s="210" t="s">
        <v>240</v>
      </c>
      <c r="C145" s="210" t="s">
        <v>218</v>
      </c>
      <c r="D145" s="196">
        <f>Euroteke!H20</f>
        <v>0</v>
      </c>
      <c r="E145" s="211">
        <v>152</v>
      </c>
      <c r="F145" s="196">
        <f>Euroteke!H47</f>
        <v>338</v>
      </c>
    </row>
    <row r="146" spans="1:6" ht="18.75">
      <c r="A146" s="193">
        <v>145</v>
      </c>
      <c r="B146" s="210" t="s">
        <v>139</v>
      </c>
      <c r="C146" s="210" t="s">
        <v>26</v>
      </c>
      <c r="D146" s="196">
        <f>'Anro ker'!I20</f>
        <v>0</v>
      </c>
      <c r="E146" s="211" t="s">
        <v>284</v>
      </c>
      <c r="F146" s="196">
        <f>Kinizsi!L47</f>
        <v>324</v>
      </c>
    </row>
    <row r="147" spans="1:6" ht="18.75">
      <c r="A147" s="193">
        <v>146</v>
      </c>
      <c r="B147" s="210" t="s">
        <v>209</v>
      </c>
      <c r="C147" s="210" t="s">
        <v>26</v>
      </c>
      <c r="D147" s="196">
        <f>Kinizsi!M20</f>
        <v>0</v>
      </c>
      <c r="E147" s="211">
        <v>143</v>
      </c>
      <c r="F147" s="196">
        <f>Kinizsi!M47</f>
        <v>315</v>
      </c>
    </row>
    <row r="148" spans="1:6" ht="18.75">
      <c r="A148" s="193">
        <v>147</v>
      </c>
      <c r="B148" s="210" t="s">
        <v>243</v>
      </c>
      <c r="C148" s="210" t="s">
        <v>250</v>
      </c>
      <c r="D148" s="196">
        <f>Santé!K20</f>
        <v>450.1666666666667</v>
      </c>
      <c r="E148" s="211">
        <v>7</v>
      </c>
      <c r="F148" s="196">
        <f>Santé!K47</f>
        <v>0</v>
      </c>
    </row>
    <row r="149" spans="1:6" ht="18.75">
      <c r="A149" s="193">
        <v>148</v>
      </c>
      <c r="B149" s="215" t="s">
        <v>258</v>
      </c>
      <c r="C149" s="210" t="s">
        <v>17</v>
      </c>
      <c r="D149" s="196">
        <f>Privát!J20</f>
        <v>435</v>
      </c>
      <c r="E149" s="211">
        <v>32</v>
      </c>
      <c r="F149" s="196">
        <f>Privát!J47</f>
        <v>0</v>
      </c>
    </row>
    <row r="150" spans="1:6" ht="18.75">
      <c r="A150" s="193">
        <v>149</v>
      </c>
      <c r="B150" s="210" t="s">
        <v>206</v>
      </c>
      <c r="C150" s="210" t="s">
        <v>20</v>
      </c>
      <c r="D150" s="196">
        <f>Szefo!E20</f>
        <v>399</v>
      </c>
      <c r="E150" s="211">
        <v>115</v>
      </c>
      <c r="F150" s="196">
        <f>Szefo!E47</f>
        <v>0</v>
      </c>
    </row>
    <row r="151" spans="1:6" ht="18.75">
      <c r="A151" s="193">
        <v>150</v>
      </c>
      <c r="B151" s="210" t="s">
        <v>182</v>
      </c>
      <c r="C151" s="210" t="s">
        <v>204</v>
      </c>
      <c r="D151" s="196">
        <f>Démász!H20</f>
        <v>377</v>
      </c>
      <c r="E151" s="211">
        <v>128</v>
      </c>
      <c r="F151" s="196">
        <f>Démász!H47</f>
        <v>0</v>
      </c>
    </row>
    <row r="152" spans="1:6" ht="18.75">
      <c r="A152" s="193">
        <v>151</v>
      </c>
      <c r="B152" s="210" t="s">
        <v>257</v>
      </c>
      <c r="C152" s="210" t="s">
        <v>214</v>
      </c>
      <c r="D152" s="196">
        <f>'Temesvári Hús'!H20</f>
        <v>369</v>
      </c>
      <c r="E152" s="211">
        <v>132</v>
      </c>
      <c r="F152" s="196">
        <f>'Temesvári Hús'!H47</f>
        <v>0</v>
      </c>
    </row>
    <row r="153" spans="1:6" ht="18.75">
      <c r="A153" s="193">
        <v>152</v>
      </c>
      <c r="B153" s="210" t="s">
        <v>235</v>
      </c>
      <c r="C153" s="210" t="s">
        <v>218</v>
      </c>
      <c r="D153" s="196">
        <f>Euroteke!L20</f>
        <v>368.2857142857143</v>
      </c>
      <c r="E153" s="211">
        <v>134</v>
      </c>
      <c r="F153" s="196">
        <f>Euroteke!L47</f>
        <v>0</v>
      </c>
    </row>
    <row r="154" spans="1:6" ht="18.75">
      <c r="A154" s="193">
        <v>153</v>
      </c>
      <c r="B154" s="210" t="s">
        <v>231</v>
      </c>
      <c r="C154" s="210" t="s">
        <v>218</v>
      </c>
      <c r="D154" s="196">
        <f>Euroteke!K20</f>
        <v>366</v>
      </c>
      <c r="E154" s="211">
        <v>135</v>
      </c>
      <c r="F154" s="196">
        <f>Euroteke!K47</f>
        <v>0</v>
      </c>
    </row>
    <row r="155" spans="1:6" ht="18.75">
      <c r="A155" s="193">
        <v>154</v>
      </c>
      <c r="B155" s="210" t="s">
        <v>237</v>
      </c>
      <c r="C155" s="210" t="s">
        <v>218</v>
      </c>
      <c r="D155" s="196">
        <f>Euroteke!N20</f>
        <v>347</v>
      </c>
      <c r="E155" s="211">
        <v>138</v>
      </c>
      <c r="F155" s="196">
        <f>Euroteke!N47</f>
        <v>0</v>
      </c>
    </row>
    <row r="156" spans="1:6" ht="18.75">
      <c r="A156" s="193">
        <v>155</v>
      </c>
      <c r="B156" s="210" t="s">
        <v>114</v>
      </c>
      <c r="C156" s="210" t="s">
        <v>20</v>
      </c>
      <c r="D156" s="196">
        <f>Szefo!J20</f>
        <v>342</v>
      </c>
      <c r="E156" s="211">
        <v>140</v>
      </c>
      <c r="F156" s="196">
        <f>Szefo!J47</f>
        <v>0</v>
      </c>
    </row>
    <row r="157" spans="1:6" ht="18.75">
      <c r="A157" s="193">
        <v>156</v>
      </c>
      <c r="B157" s="210" t="s">
        <v>227</v>
      </c>
      <c r="C157" s="210" t="s">
        <v>218</v>
      </c>
      <c r="D157" s="196">
        <f>Euroteke!D20</f>
        <v>316.5</v>
      </c>
      <c r="E157" s="211">
        <v>141</v>
      </c>
      <c r="F157" s="196">
        <f>Euroteke!D47</f>
        <v>0</v>
      </c>
    </row>
    <row r="158" spans="1:6" ht="18.75">
      <c r="A158" s="193">
        <v>157</v>
      </c>
      <c r="B158" s="210" t="s">
        <v>152</v>
      </c>
      <c r="C158" s="210" t="s">
        <v>15</v>
      </c>
      <c r="D158" s="196">
        <f>Tápé!C20</f>
        <v>0</v>
      </c>
      <c r="E158" s="211">
        <v>145</v>
      </c>
      <c r="F158" s="196">
        <f>Tápé!C47</f>
        <v>0</v>
      </c>
    </row>
    <row r="159" spans="1:6" ht="18.75">
      <c r="A159" s="193">
        <v>158</v>
      </c>
      <c r="B159" s="210" t="s">
        <v>136</v>
      </c>
      <c r="C159" s="210" t="s">
        <v>252</v>
      </c>
      <c r="D159" s="196">
        <f>'Anro ker'!C20</f>
        <v>0</v>
      </c>
      <c r="E159" s="211">
        <v>146</v>
      </c>
      <c r="F159" s="196">
        <f>'Anro ker'!C47</f>
        <v>0</v>
      </c>
    </row>
    <row r="160" spans="1:6" ht="18.75">
      <c r="A160" s="193">
        <v>159</v>
      </c>
      <c r="B160" s="210" t="s">
        <v>198</v>
      </c>
      <c r="C160" s="210" t="s">
        <v>216</v>
      </c>
      <c r="D160" s="196">
        <f>Kalmár!L20</f>
        <v>0</v>
      </c>
      <c r="E160" s="211">
        <v>148</v>
      </c>
      <c r="F160" s="196">
        <v>0</v>
      </c>
    </row>
    <row r="161" spans="1:6" ht="18.75">
      <c r="A161" s="193">
        <v>160</v>
      </c>
      <c r="B161" s="210" t="s">
        <v>199</v>
      </c>
      <c r="C161" s="210" t="s">
        <v>18</v>
      </c>
      <c r="D161" s="196">
        <f>Phoenix!J20</f>
        <v>0</v>
      </c>
      <c r="E161" s="211">
        <v>149</v>
      </c>
      <c r="F161" s="196">
        <f>Phoenix!J47</f>
        <v>0</v>
      </c>
    </row>
    <row r="162" spans="1:6" ht="18.75">
      <c r="A162" s="193">
        <v>161</v>
      </c>
      <c r="B162" s="210" t="s">
        <v>187</v>
      </c>
      <c r="C162" s="210" t="s">
        <v>22</v>
      </c>
      <c r="D162" s="196">
        <f>Postás!L20</f>
        <v>0</v>
      </c>
      <c r="E162" s="211">
        <v>151</v>
      </c>
      <c r="F162" s="196">
        <f>Postás!L47</f>
        <v>0</v>
      </c>
    </row>
    <row r="163" spans="1:6" ht="18.75">
      <c r="A163" s="209">
        <v>162</v>
      </c>
      <c r="B163" s="210" t="s">
        <v>230</v>
      </c>
      <c r="C163" s="210" t="s">
        <v>218</v>
      </c>
      <c r="D163" s="196">
        <f>Euroteke!J20</f>
        <v>0</v>
      </c>
      <c r="E163" s="211">
        <v>153</v>
      </c>
      <c r="F163" s="196">
        <v>0</v>
      </c>
    </row>
    <row r="164" spans="1:6" ht="18.75">
      <c r="A164" s="193">
        <v>163</v>
      </c>
      <c r="B164" s="210" t="s">
        <v>236</v>
      </c>
      <c r="C164" s="210" t="s">
        <v>218</v>
      </c>
      <c r="D164" s="196">
        <f>Euroteke!M20</f>
        <v>0</v>
      </c>
      <c r="E164" s="211">
        <v>154</v>
      </c>
      <c r="F164" s="196">
        <v>0</v>
      </c>
    </row>
    <row r="165" spans="1:6" ht="18.75">
      <c r="A165" s="193">
        <v>164</v>
      </c>
      <c r="B165" s="210" t="s">
        <v>232</v>
      </c>
      <c r="C165" s="210" t="s">
        <v>218</v>
      </c>
      <c r="D165" s="196">
        <f>Euroteke!Q20</f>
        <v>0</v>
      </c>
      <c r="E165" s="211">
        <v>155</v>
      </c>
      <c r="F165" s="196">
        <f>Euroteke!Q47</f>
        <v>0</v>
      </c>
    </row>
    <row r="166" spans="1:6" ht="18.75">
      <c r="A166" s="193">
        <v>165</v>
      </c>
      <c r="B166" s="210" t="s">
        <v>186</v>
      </c>
      <c r="C166" s="210" t="s">
        <v>216</v>
      </c>
      <c r="D166" s="196">
        <f>Kalmár!G20</f>
        <v>0</v>
      </c>
      <c r="E166" s="211">
        <v>157</v>
      </c>
      <c r="F166" s="196">
        <f>Kalmár!G47</f>
        <v>0</v>
      </c>
    </row>
    <row r="167" spans="2:3" ht="12.75">
      <c r="B167" s="136"/>
      <c r="C167" s="136"/>
    </row>
    <row r="168" spans="2:3" ht="12.75">
      <c r="B168" s="136"/>
      <c r="C168" s="136"/>
    </row>
    <row r="169" spans="2:3" ht="12.75">
      <c r="B169" s="136"/>
      <c r="C169" s="136"/>
    </row>
    <row r="170" spans="2:3" ht="12.75">
      <c r="B170" s="136"/>
      <c r="C170" s="136"/>
    </row>
    <row r="171" spans="2:3" ht="12.75">
      <c r="B171" s="136"/>
      <c r="C171" s="136"/>
    </row>
    <row r="172" spans="2:3" ht="12.75">
      <c r="B172" s="136"/>
      <c r="C172" s="136"/>
    </row>
    <row r="173" spans="2:3" ht="12.75">
      <c r="B173" s="136"/>
      <c r="C173" s="136"/>
    </row>
    <row r="174" spans="2:3" ht="12.75">
      <c r="B174" s="136"/>
      <c r="C174" s="136"/>
    </row>
    <row r="175" spans="2:3" ht="12.75">
      <c r="B175" s="136"/>
      <c r="C175" s="136"/>
    </row>
    <row r="176" spans="2:3" ht="12.75">
      <c r="B176" s="136"/>
      <c r="C176" s="136"/>
    </row>
    <row r="177" spans="2:3" ht="12.75">
      <c r="B177" s="136"/>
      <c r="C177" s="136"/>
    </row>
    <row r="178" spans="2:3" ht="12.75">
      <c r="B178" s="136"/>
      <c r="C178" s="136"/>
    </row>
    <row r="179" spans="2:3" ht="12.75">
      <c r="B179" s="136"/>
      <c r="C179" s="136"/>
    </row>
    <row r="180" spans="2:3" ht="12.75">
      <c r="B180" s="136"/>
      <c r="C180" s="136"/>
    </row>
    <row r="181" spans="2:3" ht="12.75">
      <c r="B181" s="136"/>
      <c r="C181" s="136"/>
    </row>
    <row r="182" spans="2:3" ht="12.75">
      <c r="B182" s="136"/>
      <c r="C182" s="136"/>
    </row>
    <row r="183" spans="2:3" ht="12.75">
      <c r="B183" s="136"/>
      <c r="C183" s="136"/>
    </row>
    <row r="184" spans="2:3" ht="12.75">
      <c r="B184" s="136"/>
      <c r="C184" s="136"/>
    </row>
    <row r="185" spans="2:3" ht="12.75">
      <c r="B185" s="136"/>
      <c r="C185" s="136"/>
    </row>
    <row r="186" spans="2:3" ht="12.75">
      <c r="B186" s="136"/>
      <c r="C186" s="136"/>
    </row>
    <row r="187" spans="2:3" ht="12.75">
      <c r="B187" s="136"/>
      <c r="C187" s="136"/>
    </row>
    <row r="188" spans="2:3" ht="12.75">
      <c r="B188" s="136"/>
      <c r="C188" s="136"/>
    </row>
    <row r="189" spans="2:3" ht="12.75">
      <c r="B189" s="136"/>
      <c r="C189" s="136"/>
    </row>
    <row r="190" spans="2:3" ht="12.75">
      <c r="B190" s="136"/>
      <c r="C190" s="136"/>
    </row>
    <row r="191" spans="2:3" ht="12.75">
      <c r="B191" s="136"/>
      <c r="C191" s="136"/>
    </row>
    <row r="192" spans="2:3" ht="12.75">
      <c r="B192" s="136"/>
      <c r="C192" s="136"/>
    </row>
    <row r="193" spans="2:3" ht="12.75">
      <c r="B193" s="136"/>
      <c r="C193" s="136"/>
    </row>
    <row r="194" spans="2:3" ht="12.75">
      <c r="B194" s="136"/>
      <c r="C194" s="136"/>
    </row>
    <row r="195" spans="2:3" ht="12.75">
      <c r="B195" s="136"/>
      <c r="C195" s="136"/>
    </row>
    <row r="196" spans="2:3" ht="12.75">
      <c r="B196" s="136"/>
      <c r="C196" s="136"/>
    </row>
    <row r="197" spans="2:3" ht="12.75">
      <c r="B197" s="136"/>
      <c r="C197" s="136"/>
    </row>
    <row r="198" spans="2:3" ht="12.75">
      <c r="B198" s="136"/>
      <c r="C198" s="136"/>
    </row>
    <row r="199" spans="2:3" ht="12.75">
      <c r="B199" s="136"/>
      <c r="C199" s="136"/>
    </row>
    <row r="200" spans="2:3" ht="12.75">
      <c r="B200" s="136"/>
      <c r="C200" s="136"/>
    </row>
    <row r="201" spans="2:3" ht="12.75">
      <c r="B201" s="136"/>
      <c r="C201" s="136"/>
    </row>
    <row r="202" spans="2:3" ht="12.75">
      <c r="B202" s="136"/>
      <c r="C202" s="136"/>
    </row>
    <row r="203" spans="2:3" ht="12.75">
      <c r="B203" s="136"/>
      <c r="C203" s="136"/>
    </row>
    <row r="204" spans="2:3" ht="12.75">
      <c r="B204" s="136"/>
      <c r="C204" s="136"/>
    </row>
    <row r="205" spans="2:3" ht="12.75">
      <c r="B205" s="136"/>
      <c r="C205" s="136"/>
    </row>
    <row r="206" spans="2:3" ht="12.75">
      <c r="B206" s="136"/>
      <c r="C206" s="136"/>
    </row>
    <row r="207" spans="2:3" ht="12.75">
      <c r="B207" s="136"/>
      <c r="C207" s="136"/>
    </row>
    <row r="208" spans="2:3" ht="12.75">
      <c r="B208" s="136"/>
      <c r="C208" s="136"/>
    </row>
    <row r="209" spans="2:3" ht="12.75">
      <c r="B209" s="136"/>
      <c r="C209" s="136"/>
    </row>
    <row r="210" spans="2:3" ht="12.75">
      <c r="B210" s="136"/>
      <c r="C210" s="136"/>
    </row>
    <row r="211" spans="2:3" ht="12.75">
      <c r="B211" s="136"/>
      <c r="C211" s="136"/>
    </row>
    <row r="212" spans="2:3" ht="12.75">
      <c r="B212" s="136"/>
      <c r="C212" s="136"/>
    </row>
    <row r="213" spans="2:3" ht="12.75">
      <c r="B213" s="136"/>
      <c r="C213" s="136"/>
    </row>
    <row r="214" spans="2:3" ht="12.75">
      <c r="B214" s="136"/>
      <c r="C214" s="136"/>
    </row>
    <row r="215" spans="2:3" ht="12.75">
      <c r="B215" s="136"/>
      <c r="C215" s="136"/>
    </row>
    <row r="216" spans="2:3" ht="12.75">
      <c r="B216" s="136"/>
      <c r="C216" s="136"/>
    </row>
    <row r="217" spans="2:3" ht="12.75">
      <c r="B217" s="136"/>
      <c r="C217" s="136"/>
    </row>
    <row r="218" spans="2:3" ht="12.75">
      <c r="B218" s="136"/>
      <c r="C218" s="136"/>
    </row>
    <row r="219" spans="2:3" ht="12.75">
      <c r="B219" s="136"/>
      <c r="C219" s="136"/>
    </row>
    <row r="220" spans="2:3" ht="12.75">
      <c r="B220" s="136"/>
      <c r="C220" s="136"/>
    </row>
    <row r="221" spans="2:3" ht="12.75">
      <c r="B221" s="136"/>
      <c r="C221" s="136"/>
    </row>
    <row r="222" spans="2:3" ht="12.75">
      <c r="B222" s="136"/>
      <c r="C222" s="136"/>
    </row>
    <row r="223" spans="2:3" ht="12.75">
      <c r="B223" s="136"/>
      <c r="C223" s="136"/>
    </row>
    <row r="224" spans="2:3" ht="12.75">
      <c r="B224" s="136"/>
      <c r="C224" s="136"/>
    </row>
    <row r="225" spans="2:3" ht="12.75">
      <c r="B225" s="136"/>
      <c r="C225" s="136"/>
    </row>
    <row r="226" spans="2:3" ht="12.75">
      <c r="B226" s="136"/>
      <c r="C226" s="136"/>
    </row>
    <row r="227" spans="2:3" ht="12.75">
      <c r="B227" s="136"/>
      <c r="C227" s="136"/>
    </row>
    <row r="228" spans="2:3" ht="12.75">
      <c r="B228" s="136"/>
      <c r="C228" s="136"/>
    </row>
    <row r="229" spans="2:3" ht="12.75">
      <c r="B229" s="136"/>
      <c r="C229" s="136"/>
    </row>
    <row r="230" spans="2:3" ht="12.75">
      <c r="B230" s="136"/>
      <c r="C230" s="136"/>
    </row>
    <row r="231" spans="2:3" ht="12.75">
      <c r="B231" s="136"/>
      <c r="C231" s="136"/>
    </row>
    <row r="232" spans="2:3" ht="12.75">
      <c r="B232" s="136"/>
      <c r="C232" s="136"/>
    </row>
    <row r="233" spans="2:3" ht="12.75">
      <c r="B233" s="136"/>
      <c r="C233" s="136"/>
    </row>
    <row r="234" spans="2:3" ht="12.75">
      <c r="B234" s="136"/>
      <c r="C234" s="136"/>
    </row>
    <row r="235" spans="2:3" ht="12.75">
      <c r="B235" s="136"/>
      <c r="C235" s="136"/>
    </row>
    <row r="236" spans="2:3" ht="12.75">
      <c r="B236" s="136"/>
      <c r="C236" s="136"/>
    </row>
    <row r="237" spans="2:3" ht="12.75">
      <c r="B237" s="136"/>
      <c r="C237" s="136"/>
    </row>
    <row r="238" spans="2:3" ht="12.75">
      <c r="B238" s="136"/>
      <c r="C238" s="136"/>
    </row>
    <row r="239" spans="2:3" ht="12.75">
      <c r="B239" s="136"/>
      <c r="C239" s="136"/>
    </row>
    <row r="240" spans="2:3" ht="12.75">
      <c r="B240" s="136"/>
      <c r="C240" s="136"/>
    </row>
    <row r="241" spans="2:3" ht="12.75">
      <c r="B241" s="136"/>
      <c r="C241" s="136"/>
    </row>
    <row r="242" spans="2:3" ht="12.75">
      <c r="B242" s="136"/>
      <c r="C242" s="136"/>
    </row>
    <row r="243" spans="2:3" ht="12.75">
      <c r="B243" s="136"/>
      <c r="C243" s="136"/>
    </row>
    <row r="244" spans="2:3" ht="12.75">
      <c r="B244" s="136"/>
      <c r="C244" s="136"/>
    </row>
    <row r="245" spans="2:3" ht="12.75">
      <c r="B245" s="136"/>
      <c r="C245" s="136"/>
    </row>
    <row r="246" spans="2:3" ht="12.75">
      <c r="B246" s="136"/>
      <c r="C246" s="136"/>
    </row>
    <row r="247" spans="2:3" ht="12.75">
      <c r="B247" s="136"/>
      <c r="C247" s="136"/>
    </row>
    <row r="248" spans="2:3" ht="12.75">
      <c r="B248" s="136"/>
      <c r="C248" s="136"/>
    </row>
    <row r="249" spans="2:3" ht="12.75">
      <c r="B249" s="136"/>
      <c r="C249" s="136"/>
    </row>
    <row r="250" spans="2:3" ht="12.75">
      <c r="B250" s="136"/>
      <c r="C250" s="136"/>
    </row>
    <row r="251" spans="2:3" ht="12.75">
      <c r="B251" s="136"/>
      <c r="C251" s="136"/>
    </row>
    <row r="252" spans="2:3" ht="12.75">
      <c r="B252" s="136"/>
      <c r="C252" s="136"/>
    </row>
    <row r="253" spans="2:3" ht="12.75">
      <c r="B253" s="136"/>
      <c r="C253" s="136"/>
    </row>
    <row r="254" spans="2:3" ht="12.75">
      <c r="B254" s="136"/>
      <c r="C254" s="136"/>
    </row>
    <row r="255" spans="2:3" ht="12.75">
      <c r="B255" s="136"/>
      <c r="C255" s="136"/>
    </row>
    <row r="256" spans="2:3" ht="12.75">
      <c r="B256" s="136"/>
      <c r="C256" s="136"/>
    </row>
    <row r="257" spans="2:3" ht="12.75">
      <c r="B257" s="136"/>
      <c r="C257" s="136"/>
    </row>
    <row r="258" spans="2:3" ht="12.75">
      <c r="B258" s="136"/>
      <c r="C258" s="136"/>
    </row>
    <row r="259" spans="2:3" ht="12.75">
      <c r="B259" s="136"/>
      <c r="C259" s="136"/>
    </row>
    <row r="260" spans="2:3" ht="12.75">
      <c r="B260" s="136"/>
      <c r="C260" s="136"/>
    </row>
    <row r="261" spans="2:3" ht="12.75">
      <c r="B261" s="136"/>
      <c r="C261" s="136"/>
    </row>
    <row r="262" spans="2:3" ht="12.75">
      <c r="B262" s="136"/>
      <c r="C262" s="136"/>
    </row>
    <row r="263" spans="2:3" ht="12.75">
      <c r="B263" s="136"/>
      <c r="C263" s="136"/>
    </row>
    <row r="264" spans="2:3" ht="12.75">
      <c r="B264" s="136"/>
      <c r="C264" s="136"/>
    </row>
    <row r="265" spans="2:3" ht="12.75">
      <c r="B265" s="136"/>
      <c r="C265" s="136"/>
    </row>
    <row r="266" spans="2:3" ht="12.75">
      <c r="B266" s="136"/>
      <c r="C266" s="136"/>
    </row>
    <row r="267" spans="2:3" ht="12.75">
      <c r="B267" s="136"/>
      <c r="C267" s="136"/>
    </row>
    <row r="268" spans="2:3" ht="12.75">
      <c r="B268" s="136"/>
      <c r="C268" s="136"/>
    </row>
    <row r="269" spans="2:3" ht="12.75">
      <c r="B269" s="136"/>
      <c r="C269" s="136"/>
    </row>
    <row r="270" spans="2:3" ht="12.75">
      <c r="B270" s="136"/>
      <c r="C270" s="136"/>
    </row>
    <row r="271" spans="2:3" ht="12.75">
      <c r="B271" s="136"/>
      <c r="C271" s="136"/>
    </row>
    <row r="272" spans="2:3" ht="12.75">
      <c r="B272" s="136"/>
      <c r="C272" s="136"/>
    </row>
    <row r="273" spans="2:3" ht="12.75">
      <c r="B273" s="136"/>
      <c r="C273" s="136"/>
    </row>
    <row r="274" spans="2:3" ht="12.75">
      <c r="B274" s="136"/>
      <c r="C274" s="136"/>
    </row>
    <row r="275" spans="2:3" ht="12.75">
      <c r="B275" s="136"/>
      <c r="C275" s="136"/>
    </row>
    <row r="276" spans="2:3" ht="12.75">
      <c r="B276" s="136"/>
      <c r="C276" s="136"/>
    </row>
    <row r="277" spans="2:3" ht="12.75">
      <c r="B277" s="136"/>
      <c r="C277" s="136"/>
    </row>
    <row r="278" spans="2:3" ht="12.75">
      <c r="B278" s="136"/>
      <c r="C278" s="136"/>
    </row>
    <row r="279" spans="2:3" ht="12.75">
      <c r="B279" s="136"/>
      <c r="C279" s="136"/>
    </row>
    <row r="280" spans="2:3" ht="12.75">
      <c r="B280" s="136"/>
      <c r="C280" s="136"/>
    </row>
    <row r="281" spans="2:3" ht="12.75">
      <c r="B281" s="136"/>
      <c r="C281" s="136"/>
    </row>
    <row r="282" spans="2:3" ht="12.75">
      <c r="B282" s="136"/>
      <c r="C282" s="136"/>
    </row>
    <row r="283" spans="2:3" ht="12.75">
      <c r="B283" s="136"/>
      <c r="C283" s="136"/>
    </row>
    <row r="284" spans="2:3" ht="12.75">
      <c r="B284" s="136"/>
      <c r="C284" s="136"/>
    </row>
    <row r="285" spans="2:3" ht="12.75">
      <c r="B285" s="136"/>
      <c r="C285" s="136"/>
    </row>
    <row r="286" spans="2:3" ht="12.75">
      <c r="B286" s="136"/>
      <c r="C286" s="136"/>
    </row>
    <row r="287" spans="2:3" ht="12.75">
      <c r="B287" s="136"/>
      <c r="C287" s="136"/>
    </row>
    <row r="288" spans="2:3" ht="12.75">
      <c r="B288" s="136"/>
      <c r="C288" s="136"/>
    </row>
    <row r="289" spans="2:3" ht="12.75">
      <c r="B289" s="136"/>
      <c r="C289" s="136"/>
    </row>
    <row r="290" spans="2:3" ht="12.75">
      <c r="B290" s="136"/>
      <c r="C290" s="136"/>
    </row>
    <row r="291" spans="2:3" ht="12.75">
      <c r="B291" s="136"/>
      <c r="C291" s="136"/>
    </row>
    <row r="292" spans="2:3" ht="12.75">
      <c r="B292" s="136"/>
      <c r="C292" s="136"/>
    </row>
    <row r="293" spans="2:3" ht="12.75">
      <c r="B293" s="136"/>
      <c r="C293" s="136"/>
    </row>
    <row r="294" spans="2:3" ht="12.75">
      <c r="B294" s="136"/>
      <c r="C294" s="136"/>
    </row>
    <row r="295" spans="2:3" ht="12.75">
      <c r="B295" s="136"/>
      <c r="C295" s="136"/>
    </row>
    <row r="296" spans="2:3" ht="12.75">
      <c r="B296" s="136"/>
      <c r="C296" s="136"/>
    </row>
    <row r="297" spans="2:3" ht="12.75">
      <c r="B297" s="136"/>
      <c r="C297" s="136"/>
    </row>
    <row r="298" spans="2:3" ht="12.75">
      <c r="B298" s="136"/>
      <c r="C298" s="136"/>
    </row>
    <row r="299" spans="2:3" ht="12.75">
      <c r="B299" s="136"/>
      <c r="C299" s="136"/>
    </row>
    <row r="300" spans="2:3" ht="12.75">
      <c r="B300" s="136"/>
      <c r="C300" s="136"/>
    </row>
    <row r="301" spans="2:3" ht="12.75">
      <c r="B301" s="136"/>
      <c r="C301" s="136"/>
    </row>
    <row r="302" spans="2:3" ht="12.75">
      <c r="B302" s="136"/>
      <c r="C302" s="136"/>
    </row>
    <row r="303" spans="2:3" ht="12.75">
      <c r="B303" s="136"/>
      <c r="C303" s="136"/>
    </row>
    <row r="304" spans="2:3" ht="12.75">
      <c r="B304" s="136"/>
      <c r="C304" s="136"/>
    </row>
    <row r="305" spans="2:3" ht="12.75">
      <c r="B305" s="136"/>
      <c r="C305" s="136"/>
    </row>
    <row r="306" spans="2:3" ht="12.75">
      <c r="B306" s="136"/>
      <c r="C306" s="136"/>
    </row>
    <row r="307" spans="2:3" ht="12.75">
      <c r="B307" s="136"/>
      <c r="C307" s="136"/>
    </row>
    <row r="308" spans="2:3" ht="12.75">
      <c r="B308" s="136"/>
      <c r="C308" s="136"/>
    </row>
    <row r="309" spans="2:3" ht="12.75">
      <c r="B309" s="136"/>
      <c r="C309" s="136"/>
    </row>
    <row r="310" spans="2:3" ht="12.75">
      <c r="B310" s="136"/>
      <c r="C310" s="136"/>
    </row>
    <row r="311" spans="2:3" ht="12.75">
      <c r="B311" s="136"/>
      <c r="C311" s="136"/>
    </row>
    <row r="312" spans="2:3" ht="12.75">
      <c r="B312" s="136"/>
      <c r="C312" s="136"/>
    </row>
    <row r="313" spans="2:3" ht="12.75">
      <c r="B313" s="136"/>
      <c r="C313" s="136"/>
    </row>
    <row r="314" spans="2:3" ht="12.75">
      <c r="B314" s="136"/>
      <c r="C314" s="136"/>
    </row>
    <row r="315" spans="2:3" ht="12.75">
      <c r="B315" s="136"/>
      <c r="C315" s="136"/>
    </row>
    <row r="316" spans="2:3" ht="12.75">
      <c r="B316" s="136"/>
      <c r="C316" s="136"/>
    </row>
    <row r="317" spans="2:3" ht="12.75">
      <c r="B317" s="136"/>
      <c r="C317" s="136"/>
    </row>
    <row r="318" spans="2:3" ht="12.75">
      <c r="B318" s="136"/>
      <c r="C318" s="136"/>
    </row>
    <row r="319" spans="2:3" ht="12.75">
      <c r="B319" s="136"/>
      <c r="C319" s="136"/>
    </row>
    <row r="320" spans="2:3" ht="12.75">
      <c r="B320" s="136"/>
      <c r="C320" s="136"/>
    </row>
    <row r="321" spans="2:3" ht="12.75">
      <c r="B321" s="136"/>
      <c r="C321" s="136"/>
    </row>
    <row r="322" spans="2:3" ht="12.75">
      <c r="B322" s="136"/>
      <c r="C322" s="136"/>
    </row>
    <row r="323" spans="2:3" ht="12.75">
      <c r="B323" s="136"/>
      <c r="C323" s="136"/>
    </row>
    <row r="324" spans="2:3" ht="12.75">
      <c r="B324" s="136"/>
      <c r="C324" s="136"/>
    </row>
    <row r="325" spans="2:3" ht="12.75">
      <c r="B325" s="136"/>
      <c r="C325" s="136"/>
    </row>
    <row r="326" spans="2:3" ht="12.75">
      <c r="B326" s="136"/>
      <c r="C326" s="136"/>
    </row>
    <row r="327" spans="2:3" ht="12.75">
      <c r="B327" s="136"/>
      <c r="C327" s="136"/>
    </row>
    <row r="328" spans="2:3" ht="12.75">
      <c r="B328" s="136"/>
      <c r="C328" s="136"/>
    </row>
    <row r="329" spans="2:3" ht="12.75">
      <c r="B329" s="136"/>
      <c r="C329" s="136"/>
    </row>
    <row r="330" spans="2:3" ht="12.75">
      <c r="B330" s="136"/>
      <c r="C330" s="136"/>
    </row>
    <row r="331" spans="2:3" ht="12.75">
      <c r="B331" s="136"/>
      <c r="C331" s="136"/>
    </row>
    <row r="332" spans="2:3" ht="12.75">
      <c r="B332" s="136"/>
      <c r="C332" s="136"/>
    </row>
    <row r="333" spans="2:3" ht="12.75">
      <c r="B333" s="136"/>
      <c r="C333" s="136"/>
    </row>
    <row r="334" spans="2:3" ht="12.75">
      <c r="B334" s="136"/>
      <c r="C334" s="136"/>
    </row>
    <row r="335" spans="2:3" ht="12.75">
      <c r="B335" s="136"/>
      <c r="C335" s="136"/>
    </row>
    <row r="336" spans="2:3" ht="12.75">
      <c r="B336" s="136"/>
      <c r="C336" s="136"/>
    </row>
    <row r="337" spans="2:3" ht="12.75">
      <c r="B337" s="136"/>
      <c r="C337" s="136"/>
    </row>
    <row r="338" spans="2:3" ht="12.75">
      <c r="B338" s="136"/>
      <c r="C338" s="136"/>
    </row>
    <row r="339" spans="2:3" ht="12.75">
      <c r="B339" s="136"/>
      <c r="C339" s="136"/>
    </row>
    <row r="340" spans="2:3" ht="12.75">
      <c r="B340" s="136"/>
      <c r="C340" s="136"/>
    </row>
    <row r="341" spans="2:3" ht="12.75">
      <c r="B341" s="136"/>
      <c r="C341" s="136"/>
    </row>
    <row r="342" spans="2:3" ht="12.75">
      <c r="B342" s="136"/>
      <c r="C342" s="136"/>
    </row>
    <row r="343" spans="2:3" ht="12.75">
      <c r="B343" s="136"/>
      <c r="C343" s="136"/>
    </row>
    <row r="344" spans="2:3" ht="12.75">
      <c r="B344" s="136"/>
      <c r="C344" s="136"/>
    </row>
    <row r="345" spans="2:3" ht="12.75">
      <c r="B345" s="136"/>
      <c r="C345" s="136"/>
    </row>
    <row r="346" spans="2:3" ht="12.75">
      <c r="B346" s="136"/>
      <c r="C346" s="136"/>
    </row>
    <row r="347" spans="2:3" ht="12.75">
      <c r="B347" s="136"/>
      <c r="C347" s="136"/>
    </row>
    <row r="348" spans="2:3" ht="12.75">
      <c r="B348" s="136"/>
      <c r="C348" s="136"/>
    </row>
    <row r="349" spans="2:3" ht="12.75">
      <c r="B349" s="136"/>
      <c r="C349" s="136"/>
    </row>
    <row r="350" spans="2:3" ht="12.75">
      <c r="B350" s="136"/>
      <c r="C350" s="136"/>
    </row>
    <row r="351" spans="2:3" ht="12.75">
      <c r="B351" s="136"/>
      <c r="C351" s="136"/>
    </row>
    <row r="352" spans="2:3" ht="12.75">
      <c r="B352" s="136"/>
      <c r="C352" s="136"/>
    </row>
    <row r="353" spans="2:3" ht="12.75">
      <c r="B353" s="136"/>
      <c r="C353" s="136"/>
    </row>
    <row r="354" spans="2:3" ht="12.75">
      <c r="B354" s="136"/>
      <c r="C354" s="136"/>
    </row>
    <row r="355" spans="2:3" ht="12.75">
      <c r="B355" s="136"/>
      <c r="C355" s="136"/>
    </row>
    <row r="356" spans="2:3" ht="12.75">
      <c r="B356" s="136"/>
      <c r="C356" s="136"/>
    </row>
    <row r="357" spans="2:3" ht="12.75">
      <c r="B357" s="136"/>
      <c r="C357" s="136"/>
    </row>
    <row r="358" spans="2:3" ht="12.75">
      <c r="B358" s="136"/>
      <c r="C358" s="136"/>
    </row>
    <row r="359" spans="2:3" ht="12.75">
      <c r="B359" s="136"/>
      <c r="C359" s="136"/>
    </row>
    <row r="360" spans="2:3" ht="12.75">
      <c r="B360" s="136"/>
      <c r="C360" s="136"/>
    </row>
    <row r="361" spans="2:3" ht="12.75">
      <c r="B361" s="136"/>
      <c r="C361" s="136"/>
    </row>
    <row r="362" spans="2:3" ht="12.75">
      <c r="B362" s="136"/>
      <c r="C362" s="136"/>
    </row>
    <row r="363" spans="2:3" ht="12.75">
      <c r="B363" s="136"/>
      <c r="C363" s="136"/>
    </row>
    <row r="364" spans="2:3" ht="12.75">
      <c r="B364" s="136"/>
      <c r="C364" s="136"/>
    </row>
    <row r="365" spans="2:3" ht="12.75">
      <c r="B365" s="136"/>
      <c r="C365" s="136"/>
    </row>
    <row r="366" spans="2:3" ht="12.75">
      <c r="B366" s="136"/>
      <c r="C366" s="136"/>
    </row>
    <row r="367" spans="2:3" ht="12.75">
      <c r="B367" s="136"/>
      <c r="C367" s="136"/>
    </row>
    <row r="368" spans="2:3" ht="12.75">
      <c r="B368" s="136"/>
      <c r="C368" s="136"/>
    </row>
    <row r="369" spans="2:3" ht="12.75">
      <c r="B369" s="136"/>
      <c r="C369" s="136"/>
    </row>
    <row r="370" spans="2:3" ht="12.75">
      <c r="B370" s="136"/>
      <c r="C370" s="136"/>
    </row>
    <row r="371" spans="2:3" ht="12.75">
      <c r="B371" s="136"/>
      <c r="C371" s="136"/>
    </row>
    <row r="372" spans="2:3" ht="12.75">
      <c r="B372" s="136"/>
      <c r="C372" s="136"/>
    </row>
    <row r="373" spans="2:3" ht="12.75">
      <c r="B373" s="136"/>
      <c r="C373" s="136"/>
    </row>
    <row r="374" spans="2:3" ht="12.75">
      <c r="B374" s="136"/>
      <c r="C374" s="136"/>
    </row>
    <row r="375" spans="2:3" ht="12.75">
      <c r="B375" s="136"/>
      <c r="C375" s="136"/>
    </row>
    <row r="376" spans="2:3" ht="12.75">
      <c r="B376" s="136"/>
      <c r="C376" s="136"/>
    </row>
    <row r="377" spans="2:3" ht="12.75">
      <c r="B377" s="136"/>
      <c r="C377" s="136"/>
    </row>
    <row r="378" spans="2:3" ht="12.75">
      <c r="B378" s="136"/>
      <c r="C378" s="136"/>
    </row>
    <row r="379" spans="2:3" ht="12.75">
      <c r="B379" s="136"/>
      <c r="C379" s="136"/>
    </row>
    <row r="380" spans="2:3" ht="12.75">
      <c r="B380" s="136"/>
      <c r="C380" s="136"/>
    </row>
    <row r="381" spans="2:3" ht="12.75">
      <c r="B381" s="136"/>
      <c r="C381" s="136"/>
    </row>
    <row r="382" spans="2:3" ht="12.75">
      <c r="B382" s="136"/>
      <c r="C382" s="136"/>
    </row>
    <row r="383" spans="2:3" ht="12.75">
      <c r="B383" s="136"/>
      <c r="C383" s="136"/>
    </row>
    <row r="384" spans="2:3" ht="12.75">
      <c r="B384" s="136"/>
      <c r="C384" s="136"/>
    </row>
    <row r="385" spans="2:3" ht="12.75">
      <c r="B385" s="136"/>
      <c r="C385" s="136"/>
    </row>
    <row r="386" spans="2:3" ht="12.75">
      <c r="B386" s="136"/>
      <c r="C386" s="136"/>
    </row>
    <row r="387" spans="2:3" ht="12.75">
      <c r="B387" s="136"/>
      <c r="C387" s="136"/>
    </row>
    <row r="388" spans="2:3" ht="12.75">
      <c r="B388" s="136"/>
      <c r="C388" s="136"/>
    </row>
    <row r="389" spans="2:3" ht="12.75">
      <c r="B389" s="136"/>
      <c r="C389" s="136"/>
    </row>
    <row r="390" spans="2:3" ht="12.75">
      <c r="B390" s="136"/>
      <c r="C390" s="136"/>
    </row>
    <row r="391" spans="2:3" ht="12.75">
      <c r="B391" s="136"/>
      <c r="C391" s="136"/>
    </row>
    <row r="392" spans="2:3" ht="12.75">
      <c r="B392" s="136"/>
      <c r="C392" s="136"/>
    </row>
    <row r="393" spans="2:3" ht="12.75">
      <c r="B393" s="136"/>
      <c r="C393" s="136"/>
    </row>
    <row r="394" spans="2:3" ht="12.75">
      <c r="B394" s="136"/>
      <c r="C394" s="136"/>
    </row>
    <row r="395" spans="2:3" ht="12.75">
      <c r="B395" s="136"/>
      <c r="C395" s="136"/>
    </row>
    <row r="396" spans="2:3" ht="12.75">
      <c r="B396" s="136"/>
      <c r="C396" s="136"/>
    </row>
    <row r="397" spans="2:3" ht="12.75">
      <c r="B397" s="136"/>
      <c r="C397" s="136"/>
    </row>
    <row r="398" spans="2:3" ht="12.75">
      <c r="B398" s="136"/>
      <c r="C398" s="136"/>
    </row>
    <row r="399" spans="2:3" ht="12.75">
      <c r="B399" s="136"/>
      <c r="C399" s="136"/>
    </row>
    <row r="400" spans="2:3" ht="12.75">
      <c r="B400" s="136"/>
      <c r="C400" s="136"/>
    </row>
    <row r="401" spans="2:3" ht="12.75">
      <c r="B401" s="136"/>
      <c r="C401" s="136"/>
    </row>
    <row r="402" spans="2:3" ht="12.75">
      <c r="B402" s="136"/>
      <c r="C402" s="136"/>
    </row>
    <row r="403" spans="2:3" ht="12.75">
      <c r="B403" s="136"/>
      <c r="C403" s="136"/>
    </row>
    <row r="404" spans="2:3" ht="12.75">
      <c r="B404" s="136"/>
      <c r="C404" s="136"/>
    </row>
    <row r="405" spans="2:3" ht="12.75">
      <c r="B405" s="136"/>
      <c r="C405" s="136"/>
    </row>
    <row r="406" spans="2:3" ht="12.75">
      <c r="B406" s="136"/>
      <c r="C406" s="136"/>
    </row>
    <row r="407" spans="2:3" ht="12.75">
      <c r="B407" s="136"/>
      <c r="C407" s="136"/>
    </row>
    <row r="408" spans="2:3" ht="12.75">
      <c r="B408" s="136"/>
      <c r="C408" s="136"/>
    </row>
    <row r="409" spans="2:3" ht="12.75">
      <c r="B409" s="136"/>
      <c r="C409" s="136"/>
    </row>
    <row r="410" spans="2:3" ht="12.75">
      <c r="B410" s="136"/>
      <c r="C410" s="136"/>
    </row>
    <row r="411" spans="2:3" ht="12.75">
      <c r="B411" s="136"/>
      <c r="C411" s="136"/>
    </row>
    <row r="412" spans="2:3" ht="12.75">
      <c r="B412" s="136"/>
      <c r="C412" s="136"/>
    </row>
    <row r="413" spans="2:3" ht="12.75">
      <c r="B413" s="136"/>
      <c r="C413" s="136"/>
    </row>
    <row r="414" spans="2:3" ht="12.75">
      <c r="B414" s="136"/>
      <c r="C414" s="136"/>
    </row>
    <row r="415" spans="2:3" ht="12.75">
      <c r="B415" s="136"/>
      <c r="C415" s="136"/>
    </row>
    <row r="416" spans="2:3" ht="12.75">
      <c r="B416" s="136"/>
      <c r="C416" s="136"/>
    </row>
    <row r="417" spans="2:3" ht="12.75">
      <c r="B417" s="136"/>
      <c r="C417" s="136"/>
    </row>
    <row r="418" spans="2:3" ht="12.75">
      <c r="B418" s="136"/>
      <c r="C418" s="136"/>
    </row>
    <row r="419" spans="2:3" ht="12.75">
      <c r="B419" s="136"/>
      <c r="C419" s="136"/>
    </row>
    <row r="420" spans="2:3" ht="12.75">
      <c r="B420" s="136"/>
      <c r="C420" s="136"/>
    </row>
    <row r="421" spans="2:3" ht="12.75">
      <c r="B421" s="136"/>
      <c r="C421" s="136"/>
    </row>
    <row r="422" spans="2:3" ht="12.75">
      <c r="B422" s="136"/>
      <c r="C422" s="136"/>
    </row>
    <row r="423" spans="2:3" ht="12.75">
      <c r="B423" s="136"/>
      <c r="C423" s="136"/>
    </row>
    <row r="424" spans="2:3" ht="12.75">
      <c r="B424" s="136"/>
      <c r="C424" s="136"/>
    </row>
    <row r="425" spans="2:3" ht="12.75">
      <c r="B425" s="136"/>
      <c r="C425" s="136"/>
    </row>
    <row r="426" spans="2:3" ht="12.75">
      <c r="B426" s="136"/>
      <c r="C426" s="136"/>
    </row>
    <row r="427" spans="2:3" ht="12.75">
      <c r="B427" s="136"/>
      <c r="C427" s="136"/>
    </row>
    <row r="428" spans="2:3" ht="12.75">
      <c r="B428" s="136"/>
      <c r="C428" s="136"/>
    </row>
    <row r="429" spans="2:3" ht="12.75">
      <c r="B429" s="136"/>
      <c r="C429" s="136"/>
    </row>
    <row r="430" spans="2:3" ht="12.75">
      <c r="B430" s="136"/>
      <c r="C430" s="136"/>
    </row>
    <row r="431" spans="2:3" ht="12.75">
      <c r="B431" s="136"/>
      <c r="C431" s="136"/>
    </row>
    <row r="432" spans="2:3" ht="12.75">
      <c r="B432" s="136"/>
      <c r="C432" s="136"/>
    </row>
    <row r="433" spans="2:3" ht="12.75">
      <c r="B433" s="136"/>
      <c r="C433" s="136"/>
    </row>
    <row r="434" spans="2:3" ht="12.75">
      <c r="B434" s="136"/>
      <c r="C434" s="136"/>
    </row>
    <row r="435" spans="2:3" ht="12.75">
      <c r="B435" s="136"/>
      <c r="C435" s="136"/>
    </row>
    <row r="436" spans="2:3" ht="12.75">
      <c r="B436" s="136"/>
      <c r="C436" s="136"/>
    </row>
    <row r="437" spans="2:3" ht="12.75">
      <c r="B437" s="136"/>
      <c r="C437" s="136"/>
    </row>
    <row r="438" spans="2:3" ht="12.75">
      <c r="B438" s="136"/>
      <c r="C438" s="136"/>
    </row>
    <row r="439" spans="2:3" ht="12.75">
      <c r="B439" s="136"/>
      <c r="C439" s="136"/>
    </row>
    <row r="440" spans="2:3" ht="12.75">
      <c r="B440" s="136"/>
      <c r="C440" s="136"/>
    </row>
    <row r="441" spans="2:3" ht="12.75">
      <c r="B441" s="136"/>
      <c r="C441" s="136"/>
    </row>
    <row r="442" spans="2:3" ht="12.75">
      <c r="B442" s="136"/>
      <c r="C442" s="136"/>
    </row>
    <row r="443" spans="2:3" ht="12.75">
      <c r="B443" s="136"/>
      <c r="C443" s="136"/>
    </row>
    <row r="444" spans="2:3" ht="12.75">
      <c r="B444" s="136"/>
      <c r="C444" s="136"/>
    </row>
    <row r="445" spans="2:3" ht="12.75">
      <c r="B445" s="136"/>
      <c r="C445" s="136"/>
    </row>
    <row r="446" spans="2:3" ht="12.75">
      <c r="B446" s="136"/>
      <c r="C446" s="136"/>
    </row>
    <row r="447" spans="2:3" ht="12.75">
      <c r="B447" s="136"/>
      <c r="C447" s="136"/>
    </row>
    <row r="448" spans="2:3" ht="12.75">
      <c r="B448" s="136"/>
      <c r="C448" s="136"/>
    </row>
    <row r="449" spans="2:3" ht="12.75">
      <c r="B449" s="136"/>
      <c r="C449" s="136"/>
    </row>
    <row r="450" spans="2:3" ht="12.75">
      <c r="B450" s="136"/>
      <c r="C450" s="136"/>
    </row>
    <row r="451" spans="2:3" ht="12.75">
      <c r="B451" s="136"/>
      <c r="C451" s="136"/>
    </row>
    <row r="452" spans="2:3" ht="12.75">
      <c r="B452" s="136"/>
      <c r="C452" s="136"/>
    </row>
    <row r="453" spans="2:3" ht="12.75">
      <c r="B453" s="136"/>
      <c r="C453" s="136"/>
    </row>
    <row r="454" spans="2:3" ht="12.75">
      <c r="B454" s="136"/>
      <c r="C454" s="136"/>
    </row>
    <row r="455" spans="2:3" ht="12.75">
      <c r="B455" s="136"/>
      <c r="C455" s="136"/>
    </row>
    <row r="456" spans="2:3" ht="12.75">
      <c r="B456" s="136"/>
      <c r="C456" s="136"/>
    </row>
    <row r="457" spans="2:3" ht="12.75">
      <c r="B457" s="136"/>
      <c r="C457" s="136"/>
    </row>
    <row r="458" spans="2:3" ht="12.75">
      <c r="B458" s="136"/>
      <c r="C458" s="136"/>
    </row>
    <row r="459" spans="2:3" ht="12.75">
      <c r="B459" s="136"/>
      <c r="C459" s="136"/>
    </row>
    <row r="460" spans="2:3" ht="12.75">
      <c r="B460" s="136"/>
      <c r="C460" s="136"/>
    </row>
    <row r="461" spans="2:3" ht="12.75">
      <c r="B461" s="136"/>
      <c r="C461" s="136"/>
    </row>
    <row r="462" spans="2:3" ht="12.75">
      <c r="B462" s="136"/>
      <c r="C462" s="136"/>
    </row>
    <row r="463" spans="2:3" ht="12.75">
      <c r="B463" s="136"/>
      <c r="C463" s="136"/>
    </row>
    <row r="464" spans="2:3" ht="12.75">
      <c r="B464" s="136"/>
      <c r="C464" s="136"/>
    </row>
    <row r="465" spans="2:3" ht="12.75">
      <c r="B465" s="136"/>
      <c r="C465" s="136"/>
    </row>
    <row r="466" spans="2:3" ht="12.75">
      <c r="B466" s="136"/>
      <c r="C466" s="136"/>
    </row>
    <row r="467" spans="2:3" ht="12.75">
      <c r="B467" s="136"/>
      <c r="C467" s="136"/>
    </row>
    <row r="468" spans="2:3" ht="12.75">
      <c r="B468" s="136"/>
      <c r="C468" s="136"/>
    </row>
    <row r="469" spans="2:3" ht="12.75">
      <c r="B469" s="136"/>
      <c r="C469" s="136"/>
    </row>
    <row r="470" spans="2:3" ht="12.75">
      <c r="B470" s="136"/>
      <c r="C470" s="136"/>
    </row>
    <row r="471" spans="2:3" ht="12.75">
      <c r="B471" s="136"/>
      <c r="C471" s="136"/>
    </row>
    <row r="472" spans="2:3" ht="12.75">
      <c r="B472" s="136"/>
      <c r="C472" s="136"/>
    </row>
    <row r="473" spans="2:3" ht="12.75">
      <c r="B473" s="136"/>
      <c r="C473" s="136"/>
    </row>
    <row r="474" spans="2:3" ht="12.75">
      <c r="B474" s="136"/>
      <c r="C474" s="136"/>
    </row>
    <row r="475" spans="2:3" ht="12.75">
      <c r="B475" s="136"/>
      <c r="C475" s="136"/>
    </row>
    <row r="476" spans="2:3" ht="12.75">
      <c r="B476" s="136"/>
      <c r="C476" s="136"/>
    </row>
    <row r="477" spans="2:3" ht="12.75">
      <c r="B477" s="136"/>
      <c r="C477" s="136"/>
    </row>
    <row r="478" spans="2:3" ht="12.75">
      <c r="B478" s="136"/>
      <c r="C478" s="136"/>
    </row>
    <row r="479" spans="2:3" ht="12.75">
      <c r="B479" s="136"/>
      <c r="C479" s="136"/>
    </row>
    <row r="480" spans="2:3" ht="12.75">
      <c r="B480" s="136"/>
      <c r="C480" s="136"/>
    </row>
    <row r="481" spans="2:3" ht="12.75">
      <c r="B481" s="136"/>
      <c r="C481" s="136"/>
    </row>
    <row r="482" spans="2:3" ht="12.75">
      <c r="B482" s="136"/>
      <c r="C482" s="136"/>
    </row>
    <row r="483" spans="2:3" ht="12.75">
      <c r="B483" s="136"/>
      <c r="C483" s="136"/>
    </row>
    <row r="484" spans="2:3" ht="12.75">
      <c r="B484" s="136"/>
      <c r="C484" s="136"/>
    </row>
    <row r="485" spans="2:3" ht="12.75">
      <c r="B485" s="136"/>
      <c r="C485" s="136"/>
    </row>
    <row r="486" spans="2:3" ht="12.75">
      <c r="B486" s="136"/>
      <c r="C486" s="136"/>
    </row>
    <row r="487" spans="2:3" ht="12.75">
      <c r="B487" s="136"/>
      <c r="C487" s="136"/>
    </row>
    <row r="488" spans="2:3" ht="12.75">
      <c r="B488" s="136"/>
      <c r="C488" s="136"/>
    </row>
    <row r="489" spans="2:3" ht="12.75">
      <c r="B489" s="136"/>
      <c r="C489" s="136"/>
    </row>
    <row r="490" spans="2:3" ht="12.75">
      <c r="B490" s="136"/>
      <c r="C490" s="136"/>
    </row>
    <row r="491" spans="2:3" ht="12.75">
      <c r="B491" s="136"/>
      <c r="C491" s="136"/>
    </row>
    <row r="492" spans="2:3" ht="12.75">
      <c r="B492" s="136"/>
      <c r="C492" s="136"/>
    </row>
    <row r="493" spans="2:3" ht="12.75">
      <c r="B493" s="136"/>
      <c r="C493" s="136"/>
    </row>
    <row r="494" spans="2:3" ht="12.75">
      <c r="B494" s="136"/>
      <c r="C494" s="136"/>
    </row>
    <row r="495" spans="2:3" ht="12.75">
      <c r="B495" s="136"/>
      <c r="C495" s="136"/>
    </row>
    <row r="496" spans="2:3" ht="12.75">
      <c r="B496" s="136"/>
      <c r="C496" s="136"/>
    </row>
    <row r="497" spans="2:3" ht="12.75">
      <c r="B497" s="136"/>
      <c r="C497" s="136"/>
    </row>
    <row r="498" spans="2:3" ht="12.75">
      <c r="B498" s="136"/>
      <c r="C498" s="136"/>
    </row>
    <row r="499" spans="2:3" ht="12.75">
      <c r="B499" s="136"/>
      <c r="C499" s="136"/>
    </row>
    <row r="500" spans="2:3" ht="12.75">
      <c r="B500" s="136"/>
      <c r="C500" s="136"/>
    </row>
    <row r="501" spans="2:3" ht="12.75">
      <c r="B501" s="136"/>
      <c r="C501" s="136"/>
    </row>
    <row r="502" spans="2:3" ht="12.75">
      <c r="B502" s="136"/>
      <c r="C502" s="136"/>
    </row>
    <row r="503" spans="2:3" ht="12.75">
      <c r="B503" s="136"/>
      <c r="C503" s="136"/>
    </row>
    <row r="504" spans="2:3" ht="12.75">
      <c r="B504" s="136"/>
      <c r="C504" s="136"/>
    </row>
    <row r="505" spans="2:3" ht="12.75">
      <c r="B505" s="136"/>
      <c r="C505" s="136"/>
    </row>
    <row r="506" spans="2:3" ht="12.75">
      <c r="B506" s="136"/>
      <c r="C506" s="136"/>
    </row>
    <row r="507" spans="2:3" ht="12.75">
      <c r="B507" s="136"/>
      <c r="C507" s="136"/>
    </row>
    <row r="508" spans="2:3" ht="12.75">
      <c r="B508" s="136"/>
      <c r="C508" s="136"/>
    </row>
    <row r="509" spans="2:3" ht="12.75">
      <c r="B509" s="136"/>
      <c r="C509" s="136"/>
    </row>
    <row r="510" spans="2:3" ht="12.75">
      <c r="B510" s="136"/>
      <c r="C510" s="136"/>
    </row>
    <row r="511" spans="2:3" ht="12.75">
      <c r="B511" s="136"/>
      <c r="C511" s="136"/>
    </row>
    <row r="512" spans="2:3" ht="12.75">
      <c r="B512" s="136"/>
      <c r="C512" s="136"/>
    </row>
    <row r="513" spans="2:3" ht="12.75">
      <c r="B513" s="136"/>
      <c r="C513" s="136"/>
    </row>
    <row r="514" spans="2:3" ht="12.75">
      <c r="B514" s="136"/>
      <c r="C514" s="136"/>
    </row>
    <row r="515" spans="2:3" ht="12.75">
      <c r="B515" s="136"/>
      <c r="C515" s="136"/>
    </row>
    <row r="516" spans="2:3" ht="12.75">
      <c r="B516" s="136"/>
      <c r="C516" s="136"/>
    </row>
    <row r="517" spans="2:3" ht="12.75">
      <c r="B517" s="136"/>
      <c r="C517" s="136"/>
    </row>
    <row r="518" spans="2:3" ht="12.75">
      <c r="B518" s="136"/>
      <c r="C518" s="136"/>
    </row>
    <row r="519" spans="2:3" ht="12.75">
      <c r="B519" s="136"/>
      <c r="C519" s="136"/>
    </row>
    <row r="520" spans="2:3" ht="12.75">
      <c r="B520" s="136"/>
      <c r="C520" s="136"/>
    </row>
    <row r="521" spans="2:3" ht="12.75">
      <c r="B521" s="136"/>
      <c r="C521" s="136"/>
    </row>
    <row r="522" spans="2:3" ht="12.75">
      <c r="B522" s="136"/>
      <c r="C522" s="136"/>
    </row>
    <row r="523" spans="2:3" ht="12.75">
      <c r="B523" s="136"/>
      <c r="C523" s="136"/>
    </row>
    <row r="524" spans="2:3" ht="12.75">
      <c r="B524" s="136"/>
      <c r="C524" s="136"/>
    </row>
    <row r="525" spans="2:3" ht="12.75">
      <c r="B525" s="136"/>
      <c r="C525" s="136"/>
    </row>
    <row r="526" spans="2:3" ht="12.75">
      <c r="B526" s="136"/>
      <c r="C526" s="136"/>
    </row>
    <row r="527" spans="2:3" ht="12.75">
      <c r="B527" s="136"/>
      <c r="C527" s="136"/>
    </row>
    <row r="528" spans="2:3" ht="12.75">
      <c r="B528" s="136"/>
      <c r="C528" s="136"/>
    </row>
    <row r="529" spans="2:3" ht="12.75">
      <c r="B529" s="136"/>
      <c r="C529" s="136"/>
    </row>
    <row r="530" spans="2:3" ht="12.75">
      <c r="B530" s="136"/>
      <c r="C530" s="136"/>
    </row>
    <row r="531" spans="2:3" ht="12.75">
      <c r="B531" s="136"/>
      <c r="C531" s="136"/>
    </row>
    <row r="532" spans="2:3" ht="12.75">
      <c r="B532" s="136"/>
      <c r="C532" s="136"/>
    </row>
    <row r="533" spans="2:3" ht="12.75">
      <c r="B533" s="136"/>
      <c r="C533" s="136"/>
    </row>
    <row r="534" spans="2:3" ht="12.75">
      <c r="B534" s="136"/>
      <c r="C534" s="136"/>
    </row>
    <row r="535" spans="2:3" ht="12.75">
      <c r="B535" s="136"/>
      <c r="C535" s="136"/>
    </row>
    <row r="536" spans="2:3" ht="12.75">
      <c r="B536" s="136"/>
      <c r="C536" s="136"/>
    </row>
    <row r="537" spans="2:3" ht="12.75">
      <c r="B537" s="136"/>
      <c r="C537" s="136"/>
    </row>
    <row r="538" spans="2:3" ht="12.75">
      <c r="B538" s="136"/>
      <c r="C538" s="136"/>
    </row>
    <row r="539" spans="2:3" ht="12.75">
      <c r="B539" s="136"/>
      <c r="C539" s="136"/>
    </row>
    <row r="540" spans="2:3" ht="12.75">
      <c r="B540" s="136"/>
      <c r="C540" s="136"/>
    </row>
    <row r="541" spans="2:3" ht="12.75">
      <c r="B541" s="136"/>
      <c r="C541" s="136"/>
    </row>
    <row r="542" spans="2:3" ht="12.75">
      <c r="B542" s="136"/>
      <c r="C542" s="136"/>
    </row>
    <row r="543" spans="2:3" ht="12.75">
      <c r="B543" s="136"/>
      <c r="C543" s="136"/>
    </row>
    <row r="544" spans="2:3" ht="12.75">
      <c r="B544" s="136"/>
      <c r="C544" s="136"/>
    </row>
    <row r="545" spans="2:3" ht="12.75">
      <c r="B545" s="136"/>
      <c r="C545" s="136"/>
    </row>
    <row r="546" spans="2:3" ht="12.75">
      <c r="B546" s="136"/>
      <c r="C546" s="136"/>
    </row>
    <row r="547" spans="2:3" ht="12.75">
      <c r="B547" s="136"/>
      <c r="C547" s="136"/>
    </row>
    <row r="548" spans="2:3" ht="12.75">
      <c r="B548" s="136"/>
      <c r="C548" s="136"/>
    </row>
    <row r="549" spans="2:3" ht="12.75">
      <c r="B549" s="136"/>
      <c r="C549" s="136"/>
    </row>
    <row r="550" spans="2:3" ht="12.75">
      <c r="B550" s="136"/>
      <c r="C550" s="136"/>
    </row>
    <row r="551" spans="2:3" ht="12.75">
      <c r="B551" s="136"/>
      <c r="C551" s="136"/>
    </row>
    <row r="552" spans="2:3" ht="12.75">
      <c r="B552" s="136"/>
      <c r="C552" s="136"/>
    </row>
    <row r="553" spans="2:3" ht="12.75">
      <c r="B553" s="136"/>
      <c r="C553" s="136"/>
    </row>
    <row r="554" spans="2:3" ht="12.75">
      <c r="B554" s="136"/>
      <c r="C554" s="136"/>
    </row>
    <row r="555" spans="2:3" ht="12.75">
      <c r="B555" s="136"/>
      <c r="C555" s="136"/>
    </row>
    <row r="556" spans="2:3" ht="12.75">
      <c r="B556" s="136"/>
      <c r="C556" s="136"/>
    </row>
    <row r="557" spans="2:3" ht="12.75">
      <c r="B557" s="136"/>
      <c r="C557" s="136"/>
    </row>
    <row r="558" spans="2:3" ht="12.75">
      <c r="B558" s="136"/>
      <c r="C558" s="136"/>
    </row>
    <row r="559" spans="2:3" ht="12.75">
      <c r="B559" s="136"/>
      <c r="C559" s="136"/>
    </row>
    <row r="560" spans="2:3" ht="12.75">
      <c r="B560" s="136"/>
      <c r="C560" s="136"/>
    </row>
    <row r="561" spans="2:3" ht="12.75">
      <c r="B561" s="136"/>
      <c r="C561" s="136"/>
    </row>
    <row r="562" spans="2:3" ht="12.75">
      <c r="B562" s="136"/>
      <c r="C562" s="136"/>
    </row>
    <row r="563" spans="2:3" ht="12.75">
      <c r="B563" s="136"/>
      <c r="C563" s="136"/>
    </row>
    <row r="564" spans="2:3" ht="12.75">
      <c r="B564" s="136"/>
      <c r="C564" s="136"/>
    </row>
    <row r="565" spans="2:3" ht="12.75">
      <c r="B565" s="136"/>
      <c r="C565" s="136"/>
    </row>
    <row r="566" spans="2:3" ht="12.75">
      <c r="B566" s="136"/>
      <c r="C566" s="136"/>
    </row>
    <row r="567" spans="2:3" ht="12.75">
      <c r="B567" s="136"/>
      <c r="C567" s="136"/>
    </row>
    <row r="568" spans="2:3" ht="12.75">
      <c r="B568" s="136"/>
      <c r="C568" s="136"/>
    </row>
    <row r="569" spans="2:3" ht="12.75">
      <c r="B569" s="136"/>
      <c r="C569" s="136"/>
    </row>
    <row r="570" spans="2:3" ht="12.75">
      <c r="B570" s="136"/>
      <c r="C570" s="136"/>
    </row>
    <row r="571" spans="2:3" ht="12.75">
      <c r="B571" s="136"/>
      <c r="C571" s="136"/>
    </row>
    <row r="572" spans="2:3" ht="12.75">
      <c r="B572" s="136"/>
      <c r="C572" s="136"/>
    </row>
    <row r="573" spans="2:3" ht="12.75">
      <c r="B573" s="136"/>
      <c r="C573" s="136"/>
    </row>
    <row r="574" spans="2:3" ht="12.75">
      <c r="B574" s="136"/>
      <c r="C574" s="136"/>
    </row>
    <row r="575" spans="2:3" ht="12.75">
      <c r="B575" s="136"/>
      <c r="C575" s="136"/>
    </row>
    <row r="576" spans="2:3" ht="12.75">
      <c r="B576" s="136"/>
      <c r="C576" s="136"/>
    </row>
    <row r="577" spans="2:3" ht="12.75">
      <c r="B577" s="136"/>
      <c r="C577" s="136"/>
    </row>
    <row r="578" spans="2:3" ht="12.75">
      <c r="B578" s="136"/>
      <c r="C578" s="136"/>
    </row>
    <row r="579" spans="2:3" ht="12.75">
      <c r="B579" s="136"/>
      <c r="C579" s="136"/>
    </row>
    <row r="580" spans="2:3" ht="12.75">
      <c r="B580" s="136"/>
      <c r="C580" s="136"/>
    </row>
    <row r="581" spans="2:3" ht="12.75">
      <c r="B581" s="136"/>
      <c r="C581" s="136"/>
    </row>
    <row r="582" spans="2:3" ht="12.75">
      <c r="B582" s="136"/>
      <c r="C582" s="136"/>
    </row>
    <row r="583" spans="2:3" ht="12.75">
      <c r="B583" s="136"/>
      <c r="C583" s="136"/>
    </row>
    <row r="584" spans="2:3" ht="12.75">
      <c r="B584" s="136"/>
      <c r="C584" s="136"/>
    </row>
    <row r="585" spans="2:3" ht="12.75">
      <c r="B585" s="136"/>
      <c r="C585" s="136"/>
    </row>
    <row r="586" spans="2:3" ht="12.75">
      <c r="B586" s="136"/>
      <c r="C586" s="136"/>
    </row>
    <row r="587" spans="2:3" ht="12.75">
      <c r="B587" s="136"/>
      <c r="C587" s="136"/>
    </row>
    <row r="588" spans="2:3" ht="12.75">
      <c r="B588" s="136"/>
      <c r="C588" s="136"/>
    </row>
    <row r="589" spans="2:3" ht="12.75">
      <c r="B589" s="136"/>
      <c r="C589" s="136"/>
    </row>
    <row r="590" spans="2:3" ht="12.75">
      <c r="B590" s="136"/>
      <c r="C590" s="136"/>
    </row>
    <row r="591" spans="2:3" ht="12.75">
      <c r="B591" s="136"/>
      <c r="C591" s="136"/>
    </row>
    <row r="592" spans="2:3" ht="12.75">
      <c r="B592" s="136"/>
      <c r="C592" s="136"/>
    </row>
    <row r="593" spans="2:3" ht="12.75">
      <c r="B593" s="136"/>
      <c r="C593" s="136"/>
    </row>
    <row r="594" spans="2:3" ht="12.75">
      <c r="B594" s="136"/>
      <c r="C594" s="136"/>
    </row>
    <row r="595" spans="2:3" ht="12.75">
      <c r="B595" s="136"/>
      <c r="C595" s="136"/>
    </row>
    <row r="596" spans="2:3" ht="12.75">
      <c r="B596" s="136"/>
      <c r="C596" s="136"/>
    </row>
    <row r="597" spans="2:3" ht="12.75">
      <c r="B597" s="136"/>
      <c r="C597" s="136"/>
    </row>
    <row r="598" spans="2:3" ht="12.75">
      <c r="B598" s="136"/>
      <c r="C598" s="136"/>
    </row>
    <row r="599" spans="2:3" ht="12.75">
      <c r="B599" s="136"/>
      <c r="C599" s="136"/>
    </row>
    <row r="600" spans="2:3" ht="12.75">
      <c r="B600" s="136"/>
      <c r="C600" s="136"/>
    </row>
    <row r="601" spans="2:3" ht="12.75">
      <c r="B601" s="136"/>
      <c r="C601" s="136"/>
    </row>
    <row r="602" spans="2:3" ht="12.75">
      <c r="B602" s="136"/>
      <c r="C602" s="136"/>
    </row>
    <row r="603" spans="2:3" ht="12.75">
      <c r="B603" s="136"/>
      <c r="C603" s="136"/>
    </row>
    <row r="604" spans="2:3" ht="12.75">
      <c r="B604" s="136"/>
      <c r="C604" s="136"/>
    </row>
    <row r="605" spans="2:3" ht="12.75">
      <c r="B605" s="136"/>
      <c r="C605" s="136"/>
    </row>
    <row r="606" spans="2:3" ht="12.75">
      <c r="B606" s="136"/>
      <c r="C606" s="136"/>
    </row>
    <row r="607" spans="2:3" ht="12.75">
      <c r="B607" s="136"/>
      <c r="C607" s="136"/>
    </row>
    <row r="608" spans="2:3" ht="12.75">
      <c r="B608" s="136"/>
      <c r="C608" s="136"/>
    </row>
    <row r="609" spans="2:3" ht="12.75">
      <c r="B609" s="136"/>
      <c r="C609" s="136"/>
    </row>
    <row r="610" spans="2:3" ht="12.75">
      <c r="B610" s="136"/>
      <c r="C610" s="136"/>
    </row>
    <row r="611" spans="2:3" ht="12.75">
      <c r="B611" s="136"/>
      <c r="C611" s="136"/>
    </row>
    <row r="612" spans="2:3" ht="12.75">
      <c r="B612" s="136"/>
      <c r="C612" s="136"/>
    </row>
    <row r="613" spans="2:3" ht="12.75">
      <c r="B613" s="136"/>
      <c r="C613" s="136"/>
    </row>
    <row r="614" spans="2:3" ht="12.75">
      <c r="B614" s="136"/>
      <c r="C614" s="136"/>
    </row>
    <row r="615" spans="2:3" ht="12.75">
      <c r="B615" s="136"/>
      <c r="C615" s="136"/>
    </row>
    <row r="616" spans="2:3" ht="12.75">
      <c r="B616" s="136"/>
      <c r="C616" s="136"/>
    </row>
    <row r="617" spans="2:3" ht="12.75">
      <c r="B617" s="136"/>
      <c r="C617" s="136"/>
    </row>
    <row r="618" spans="2:3" ht="12.75">
      <c r="B618" s="136"/>
      <c r="C618" s="136"/>
    </row>
    <row r="619" spans="2:3" ht="12.75">
      <c r="B619" s="136"/>
      <c r="C619" s="136"/>
    </row>
    <row r="620" spans="2:3" ht="12.75">
      <c r="B620" s="136"/>
      <c r="C620" s="136"/>
    </row>
    <row r="621" spans="2:3" ht="12.75">
      <c r="B621" s="136"/>
      <c r="C621" s="136"/>
    </row>
    <row r="622" spans="2:3" ht="12.75">
      <c r="B622" s="136"/>
      <c r="C622" s="136"/>
    </row>
    <row r="623" spans="2:3" ht="12.75">
      <c r="B623" s="136"/>
      <c r="C623" s="136"/>
    </row>
    <row r="624" spans="2:3" ht="12.75">
      <c r="B624" s="136"/>
      <c r="C624" s="136"/>
    </row>
    <row r="625" spans="2:3" ht="12.75">
      <c r="B625" s="136"/>
      <c r="C625" s="136"/>
    </row>
    <row r="626" spans="2:3" ht="12.75">
      <c r="B626" s="136"/>
      <c r="C626" s="136"/>
    </row>
    <row r="627" spans="2:3" ht="12.75">
      <c r="B627" s="136"/>
      <c r="C627" s="136"/>
    </row>
    <row r="628" spans="2:3" ht="12.75">
      <c r="B628" s="136"/>
      <c r="C628" s="136"/>
    </row>
    <row r="629" spans="2:3" ht="12.75">
      <c r="B629" s="136"/>
      <c r="C629" s="136"/>
    </row>
    <row r="630" spans="2:3" ht="12.75">
      <c r="B630" s="136"/>
      <c r="C630" s="136"/>
    </row>
    <row r="631" spans="2:3" ht="12.75">
      <c r="B631" s="136"/>
      <c r="C631" s="136"/>
    </row>
    <row r="632" spans="2:3" ht="12.75">
      <c r="B632" s="136"/>
      <c r="C632" s="136"/>
    </row>
    <row r="633" spans="2:3" ht="12.75">
      <c r="B633" s="136"/>
      <c r="C633" s="136"/>
    </row>
    <row r="634" spans="2:3" ht="12.75">
      <c r="B634" s="136"/>
      <c r="C634" s="136"/>
    </row>
    <row r="635" spans="2:3" ht="12.75">
      <c r="B635" s="136"/>
      <c r="C635" s="136"/>
    </row>
    <row r="636" spans="2:3" ht="12.75">
      <c r="B636" s="136"/>
      <c r="C636" s="136"/>
    </row>
    <row r="637" spans="2:3" ht="12.75">
      <c r="B637" s="136"/>
      <c r="C637" s="136"/>
    </row>
    <row r="638" spans="2:3" ht="12.75">
      <c r="B638" s="136"/>
      <c r="C638" s="136"/>
    </row>
    <row r="639" spans="2:3" ht="12.75">
      <c r="B639" s="136"/>
      <c r="C639" s="136"/>
    </row>
    <row r="640" spans="2:3" ht="12.75">
      <c r="B640" s="136"/>
      <c r="C640" s="136"/>
    </row>
    <row r="641" spans="2:3" ht="12.75">
      <c r="B641" s="136"/>
      <c r="C641" s="136"/>
    </row>
    <row r="642" spans="2:3" ht="12.75">
      <c r="B642" s="136"/>
      <c r="C642" s="136"/>
    </row>
    <row r="643" spans="2:3" ht="12.75">
      <c r="B643" s="136"/>
      <c r="C643" s="136"/>
    </row>
    <row r="644" spans="2:3" ht="12.75">
      <c r="B644" s="136"/>
      <c r="C644" s="136"/>
    </row>
    <row r="645" spans="2:3" ht="12.75">
      <c r="B645" s="136"/>
      <c r="C645" s="136"/>
    </row>
    <row r="646" spans="2:3" ht="12.75">
      <c r="B646" s="136"/>
      <c r="C646" s="136"/>
    </row>
    <row r="647" spans="2:3" ht="12.75">
      <c r="B647" s="136"/>
      <c r="C647" s="136"/>
    </row>
    <row r="648" spans="2:3" ht="12.75">
      <c r="B648" s="136"/>
      <c r="C648" s="136"/>
    </row>
    <row r="649" spans="2:3" ht="12.75">
      <c r="B649" s="136"/>
      <c r="C649" s="136"/>
    </row>
    <row r="650" spans="2:3" ht="12.75">
      <c r="B650" s="136"/>
      <c r="C650" s="136"/>
    </row>
    <row r="651" spans="2:3" ht="12.75">
      <c r="B651" s="136"/>
      <c r="C651" s="136"/>
    </row>
    <row r="652" spans="2:3" ht="12.75">
      <c r="B652" s="136"/>
      <c r="C652" s="136"/>
    </row>
    <row r="653" spans="2:3" ht="12.75">
      <c r="B653" s="136"/>
      <c r="C653" s="136"/>
    </row>
    <row r="654" spans="2:3" ht="12.75">
      <c r="B654" s="136"/>
      <c r="C654" s="136"/>
    </row>
    <row r="655" spans="2:3" ht="12.75">
      <c r="B655" s="136"/>
      <c r="C655" s="136"/>
    </row>
    <row r="656" spans="2:3" ht="12.75">
      <c r="B656" s="136"/>
      <c r="C656" s="136"/>
    </row>
    <row r="657" spans="2:3" ht="12.75">
      <c r="B657" s="136"/>
      <c r="C657" s="136"/>
    </row>
    <row r="658" spans="2:3" ht="12.75">
      <c r="B658" s="136"/>
      <c r="C658" s="136"/>
    </row>
    <row r="659" spans="2:3" ht="12.75">
      <c r="B659" s="136"/>
      <c r="C659" s="136"/>
    </row>
    <row r="660" spans="2:3" ht="12.75">
      <c r="B660" s="136"/>
      <c r="C660" s="136"/>
    </row>
    <row r="661" spans="2:3" ht="12.75">
      <c r="B661" s="136"/>
      <c r="C661" s="136"/>
    </row>
    <row r="662" spans="2:3" ht="12.75">
      <c r="B662" s="136"/>
      <c r="C662" s="136"/>
    </row>
    <row r="663" spans="2:3" ht="12.75">
      <c r="B663" s="136"/>
      <c r="C663" s="136"/>
    </row>
    <row r="664" spans="2:3" ht="12.75">
      <c r="B664" s="136"/>
      <c r="C664" s="136"/>
    </row>
    <row r="665" spans="2:3" ht="12.75">
      <c r="B665" s="136"/>
      <c r="C665" s="136"/>
    </row>
    <row r="666" spans="2:3" ht="12.75">
      <c r="B666" s="136"/>
      <c r="C666" s="136"/>
    </row>
    <row r="667" spans="2:3" ht="12.75">
      <c r="B667" s="136"/>
      <c r="C667" s="136"/>
    </row>
    <row r="668" spans="2:3" ht="12.75">
      <c r="B668" s="136"/>
      <c r="C668" s="136"/>
    </row>
    <row r="669" spans="2:3" ht="12.75">
      <c r="B669" s="136"/>
      <c r="C669" s="136"/>
    </row>
    <row r="670" spans="2:3" ht="12.75">
      <c r="B670" s="136"/>
      <c r="C670" s="136"/>
    </row>
    <row r="671" spans="2:3" ht="12.75">
      <c r="B671" s="136"/>
      <c r="C671" s="136"/>
    </row>
    <row r="672" spans="2:3" ht="12.75">
      <c r="B672" s="136"/>
      <c r="C672" s="136"/>
    </row>
    <row r="673" spans="2:3" ht="12.75">
      <c r="B673" s="136"/>
      <c r="C673" s="136"/>
    </row>
    <row r="674" spans="2:3" ht="12.75">
      <c r="B674" s="136"/>
      <c r="C674" s="136"/>
    </row>
    <row r="675" spans="2:3" ht="12.75">
      <c r="B675" s="136"/>
      <c r="C675" s="136"/>
    </row>
    <row r="676" spans="2:3" ht="12.75">
      <c r="B676" s="136"/>
      <c r="C676" s="136"/>
    </row>
    <row r="677" spans="2:3" ht="12.75">
      <c r="B677" s="136"/>
      <c r="C677" s="136"/>
    </row>
    <row r="678" spans="2:3" ht="12.75">
      <c r="B678" s="136"/>
      <c r="C678" s="136"/>
    </row>
    <row r="679" spans="2:3" ht="12.75">
      <c r="B679" s="136"/>
      <c r="C679" s="136"/>
    </row>
    <row r="680" spans="2:3" ht="12.75">
      <c r="B680" s="136"/>
      <c r="C680" s="136"/>
    </row>
    <row r="681" spans="2:3" ht="12.75">
      <c r="B681" s="136"/>
      <c r="C681" s="136"/>
    </row>
    <row r="682" spans="2:3" ht="12.75">
      <c r="B682" s="136"/>
      <c r="C682" s="136"/>
    </row>
    <row r="683" spans="2:3" ht="12.75">
      <c r="B683" s="136"/>
      <c r="C683" s="136"/>
    </row>
    <row r="684" spans="2:3" ht="12.75">
      <c r="B684" s="136"/>
      <c r="C684" s="136"/>
    </row>
    <row r="685" spans="2:3" ht="12.75">
      <c r="B685" s="136"/>
      <c r="C685" s="136"/>
    </row>
    <row r="686" spans="2:3" ht="12.75">
      <c r="B686" s="136"/>
      <c r="C686" s="136"/>
    </row>
    <row r="687" spans="2:3" ht="12.75">
      <c r="B687" s="136"/>
      <c r="C687" s="136"/>
    </row>
    <row r="688" spans="2:3" ht="12.75">
      <c r="B688" s="136"/>
      <c r="C688" s="136"/>
    </row>
    <row r="689" spans="2:3" ht="12.75">
      <c r="B689" s="136"/>
      <c r="C689" s="136"/>
    </row>
    <row r="690" spans="2:3" ht="12.75">
      <c r="B690" s="136"/>
      <c r="C690" s="136"/>
    </row>
    <row r="691" spans="2:3" ht="12.75">
      <c r="B691" s="136"/>
      <c r="C691" s="136"/>
    </row>
    <row r="692" spans="2:3" ht="12.75">
      <c r="B692" s="136"/>
      <c r="C692" s="136"/>
    </row>
    <row r="693" spans="2:3" ht="12.75">
      <c r="B693" s="136"/>
      <c r="C693" s="136"/>
    </row>
    <row r="694" spans="2:3" ht="12.75">
      <c r="B694" s="136"/>
      <c r="C694" s="136"/>
    </row>
    <row r="695" spans="2:3" ht="12.75">
      <c r="B695" s="136"/>
      <c r="C695" s="136"/>
    </row>
    <row r="696" spans="2:3" ht="12.75">
      <c r="B696" s="136"/>
      <c r="C696" s="136"/>
    </row>
    <row r="697" spans="2:3" ht="12.75">
      <c r="B697" s="136"/>
      <c r="C697" s="136"/>
    </row>
    <row r="698" spans="2:3" ht="12.75">
      <c r="B698" s="136"/>
      <c r="C698" s="136"/>
    </row>
    <row r="699" spans="2:3" ht="12.75">
      <c r="B699" s="136"/>
      <c r="C699" s="136"/>
    </row>
    <row r="700" spans="2:3" ht="12.75">
      <c r="B700" s="136"/>
      <c r="C700" s="136"/>
    </row>
    <row r="701" spans="2:3" ht="12.75">
      <c r="B701" s="136"/>
      <c r="C701" s="136"/>
    </row>
    <row r="702" spans="2:3" ht="12.75">
      <c r="B702" s="136"/>
      <c r="C702" s="136"/>
    </row>
    <row r="703" spans="2:3" ht="12.75">
      <c r="B703" s="136"/>
      <c r="C703" s="136"/>
    </row>
    <row r="704" spans="2:3" ht="12.75">
      <c r="B704" s="136"/>
      <c r="C704" s="136"/>
    </row>
    <row r="705" spans="2:3" ht="12.75">
      <c r="B705" s="136"/>
      <c r="C705" s="136"/>
    </row>
    <row r="706" spans="2:3" ht="12.75">
      <c r="B706" s="136"/>
      <c r="C706" s="136"/>
    </row>
    <row r="707" spans="2:3" ht="12.75">
      <c r="B707" s="136"/>
      <c r="C707" s="136"/>
    </row>
    <row r="708" spans="2:3" ht="12.75">
      <c r="B708" s="136"/>
      <c r="C708" s="136"/>
    </row>
    <row r="709" spans="2:3" ht="12.75">
      <c r="B709" s="136"/>
      <c r="C709" s="136"/>
    </row>
    <row r="710" spans="2:3" ht="12.75">
      <c r="B710" s="136"/>
      <c r="C710" s="136"/>
    </row>
    <row r="711" spans="2:3" ht="12.75">
      <c r="B711" s="136"/>
      <c r="C711" s="136"/>
    </row>
    <row r="712" spans="2:3" ht="12.75">
      <c r="B712" s="136"/>
      <c r="C712" s="136"/>
    </row>
    <row r="713" spans="2:3" ht="12.75">
      <c r="B713" s="136"/>
      <c r="C713" s="136"/>
    </row>
    <row r="714" spans="2:3" ht="12.75">
      <c r="B714" s="136"/>
      <c r="C714" s="136"/>
    </row>
    <row r="715" spans="2:3" ht="12.75">
      <c r="B715" s="136"/>
      <c r="C715" s="136"/>
    </row>
    <row r="716" spans="2:3" ht="12.75">
      <c r="B716" s="136"/>
      <c r="C716" s="136"/>
    </row>
    <row r="717" spans="2:3" ht="12.75">
      <c r="B717" s="136"/>
      <c r="C717" s="136"/>
    </row>
    <row r="718" spans="2:3" ht="12.75">
      <c r="B718" s="136"/>
      <c r="C718" s="136"/>
    </row>
    <row r="719" spans="2:3" ht="12.75">
      <c r="B719" s="136"/>
      <c r="C719" s="136"/>
    </row>
    <row r="720" spans="2:3" ht="12.75">
      <c r="B720" s="136"/>
      <c r="C720" s="136"/>
    </row>
    <row r="721" spans="2:3" ht="12.75">
      <c r="B721" s="136"/>
      <c r="C721" s="136"/>
    </row>
    <row r="722" spans="2:3" ht="12.75">
      <c r="B722" s="136"/>
      <c r="C722" s="136"/>
    </row>
    <row r="723" spans="2:3" ht="12.75">
      <c r="B723" s="136"/>
      <c r="C723" s="136"/>
    </row>
    <row r="724" spans="2:3" ht="12.75">
      <c r="B724" s="136"/>
      <c r="C724" s="136"/>
    </row>
    <row r="725" spans="2:3" ht="12.75">
      <c r="B725" s="136"/>
      <c r="C725" s="136"/>
    </row>
    <row r="726" spans="2:3" ht="12.75">
      <c r="B726" s="136"/>
      <c r="C726" s="136"/>
    </row>
    <row r="727" spans="2:3" ht="12.75">
      <c r="B727" s="136"/>
      <c r="C727" s="136"/>
    </row>
    <row r="728" spans="2:3" ht="12.75">
      <c r="B728" s="136"/>
      <c r="C728" s="136"/>
    </row>
    <row r="729" spans="2:3" ht="12.75">
      <c r="B729" s="136"/>
      <c r="C729" s="136"/>
    </row>
    <row r="730" spans="2:3" ht="12.75">
      <c r="B730" s="136"/>
      <c r="C730" s="136"/>
    </row>
    <row r="731" spans="2:3" ht="12.75">
      <c r="B731" s="136"/>
      <c r="C731" s="136"/>
    </row>
    <row r="732" spans="2:3" ht="12.75">
      <c r="B732" s="136"/>
      <c r="C732" s="136"/>
    </row>
    <row r="733" spans="2:3" ht="12.75">
      <c r="B733" s="136"/>
      <c r="C733" s="136"/>
    </row>
    <row r="734" spans="2:3" ht="12.75">
      <c r="B734" s="136"/>
      <c r="C734" s="136"/>
    </row>
    <row r="735" spans="2:3" ht="12.75">
      <c r="B735" s="136"/>
      <c r="C735" s="136"/>
    </row>
    <row r="736" spans="2:3" ht="12.75">
      <c r="B736" s="136"/>
      <c r="C736" s="136"/>
    </row>
    <row r="737" spans="2:3" ht="12.75">
      <c r="B737" s="136"/>
      <c r="C737" s="136"/>
    </row>
    <row r="738" spans="2:3" ht="12.75">
      <c r="B738" s="136"/>
      <c r="C738" s="136"/>
    </row>
    <row r="739" spans="2:3" ht="12.75">
      <c r="B739" s="136"/>
      <c r="C739" s="136"/>
    </row>
    <row r="740" spans="2:3" ht="12.75">
      <c r="B740" s="136"/>
      <c r="C740" s="136"/>
    </row>
    <row r="741" spans="2:3" ht="12.75">
      <c r="B741" s="136"/>
      <c r="C741" s="136"/>
    </row>
    <row r="742" spans="2:3" ht="12.75">
      <c r="B742" s="136"/>
      <c r="C742" s="136"/>
    </row>
    <row r="743" spans="2:3" ht="12.75">
      <c r="B743" s="136"/>
      <c r="C743" s="136"/>
    </row>
    <row r="744" spans="2:3" ht="12.75">
      <c r="B744" s="136"/>
      <c r="C744" s="136"/>
    </row>
    <row r="745" spans="2:3" ht="12.75">
      <c r="B745" s="136"/>
      <c r="C745" s="136"/>
    </row>
    <row r="746" spans="2:3" ht="12.75">
      <c r="B746" s="136"/>
      <c r="C746" s="136"/>
    </row>
    <row r="747" spans="2:3" ht="12.75">
      <c r="B747" s="136"/>
      <c r="C747" s="136"/>
    </row>
    <row r="748" spans="2:3" ht="12.75">
      <c r="B748" s="136"/>
      <c r="C748" s="136"/>
    </row>
    <row r="749" spans="2:3" ht="12.75">
      <c r="B749" s="136"/>
      <c r="C749" s="136"/>
    </row>
    <row r="750" spans="2:3" ht="12.75">
      <c r="B750" s="136"/>
      <c r="C750" s="136"/>
    </row>
    <row r="751" spans="2:3" ht="12.75">
      <c r="B751" s="136"/>
      <c r="C751" s="136"/>
    </row>
    <row r="752" spans="2:3" ht="12.75">
      <c r="B752" s="136"/>
      <c r="C752" s="136"/>
    </row>
    <row r="753" spans="2:3" ht="12.75">
      <c r="B753" s="136"/>
      <c r="C753" s="136"/>
    </row>
    <row r="754" spans="2:3" ht="12.75">
      <c r="B754" s="136"/>
      <c r="C754" s="136"/>
    </row>
    <row r="755" spans="2:3" ht="12.75">
      <c r="B755" s="136"/>
      <c r="C755" s="136"/>
    </row>
    <row r="756" spans="2:3" ht="12.75">
      <c r="B756" s="136"/>
      <c r="C756" s="136"/>
    </row>
    <row r="757" spans="2:3" ht="12.75">
      <c r="B757" s="136"/>
      <c r="C757" s="136"/>
    </row>
    <row r="758" spans="2:3" ht="12.75">
      <c r="B758" s="136"/>
      <c r="C758" s="136"/>
    </row>
    <row r="759" spans="2:3" ht="12.75">
      <c r="B759" s="136"/>
      <c r="C759" s="136"/>
    </row>
    <row r="760" spans="2:3" ht="12.75">
      <c r="B760" s="136"/>
      <c r="C760" s="136"/>
    </row>
    <row r="761" spans="2:3" ht="12.75">
      <c r="B761" s="136"/>
      <c r="C761" s="136"/>
    </row>
    <row r="762" spans="2:3" ht="12.75">
      <c r="B762" s="136"/>
      <c r="C762" s="136"/>
    </row>
    <row r="763" spans="2:3" ht="12.75">
      <c r="B763" s="136"/>
      <c r="C763" s="136"/>
    </row>
    <row r="764" spans="2:3" ht="12.75">
      <c r="B764" s="136"/>
      <c r="C764" s="136"/>
    </row>
    <row r="765" spans="2:3" ht="12.75">
      <c r="B765" s="136"/>
      <c r="C765" s="136"/>
    </row>
    <row r="766" spans="2:3" ht="12.75">
      <c r="B766" s="136"/>
      <c r="C766" s="136"/>
    </row>
    <row r="767" spans="2:3" ht="12.75">
      <c r="B767" s="136"/>
      <c r="C767" s="136"/>
    </row>
    <row r="768" spans="2:3" ht="12.75">
      <c r="B768" s="136"/>
      <c r="C768" s="136"/>
    </row>
    <row r="769" spans="2:3" ht="12.75">
      <c r="B769" s="136"/>
      <c r="C769" s="136"/>
    </row>
    <row r="770" spans="2:3" ht="12.75">
      <c r="B770" s="136"/>
      <c r="C770" s="136"/>
    </row>
    <row r="771" spans="2:3" ht="12.75">
      <c r="B771" s="136"/>
      <c r="C771" s="136"/>
    </row>
    <row r="772" spans="2:3" ht="12.75">
      <c r="B772" s="136"/>
      <c r="C772" s="136"/>
    </row>
    <row r="773" spans="2:3" ht="12.75">
      <c r="B773" s="136"/>
      <c r="C773" s="136"/>
    </row>
    <row r="774" spans="2:3" ht="12.75">
      <c r="B774" s="136"/>
      <c r="C774" s="136"/>
    </row>
    <row r="775" spans="2:3" ht="12.75">
      <c r="B775" s="136"/>
      <c r="C775" s="136"/>
    </row>
    <row r="776" spans="2:3" ht="12.75">
      <c r="B776" s="136"/>
      <c r="C776" s="136"/>
    </row>
    <row r="777" spans="2:3" ht="12.75">
      <c r="B777" s="136"/>
      <c r="C777" s="136"/>
    </row>
    <row r="778" spans="2:3" ht="12.75">
      <c r="B778" s="136"/>
      <c r="C778" s="136"/>
    </row>
    <row r="779" spans="2:3" ht="12.75">
      <c r="B779" s="136"/>
      <c r="C779" s="136"/>
    </row>
    <row r="780" spans="2:3" ht="12.75">
      <c r="B780" s="136"/>
      <c r="C780" s="136"/>
    </row>
    <row r="781" spans="2:3" ht="12.75">
      <c r="B781" s="136"/>
      <c r="C781" s="136"/>
    </row>
    <row r="782" spans="2:3" ht="12.75">
      <c r="B782" s="136"/>
      <c r="C782" s="136"/>
    </row>
    <row r="783" spans="2:3" ht="12.75">
      <c r="B783" s="136"/>
      <c r="C783" s="136"/>
    </row>
    <row r="784" spans="2:3" ht="12.75">
      <c r="B784" s="136"/>
      <c r="C784" s="136"/>
    </row>
    <row r="785" spans="2:3" ht="12.75">
      <c r="B785" s="136"/>
      <c r="C785" s="136"/>
    </row>
    <row r="786" spans="2:3" ht="12.75">
      <c r="B786" s="136"/>
      <c r="C786" s="136"/>
    </row>
    <row r="787" spans="2:3" ht="12.75">
      <c r="B787" s="136"/>
      <c r="C787" s="136"/>
    </row>
    <row r="788" spans="2:3" ht="12.75">
      <c r="B788" s="136"/>
      <c r="C788" s="136"/>
    </row>
    <row r="789" spans="2:3" ht="12.75">
      <c r="B789" s="136"/>
      <c r="C789" s="136"/>
    </row>
    <row r="790" spans="2:3" ht="12.75">
      <c r="B790" s="136"/>
      <c r="C790" s="136"/>
    </row>
    <row r="791" spans="2:3" ht="12.75">
      <c r="B791" s="136"/>
      <c r="C791" s="136"/>
    </row>
    <row r="792" spans="2:3" ht="12.75">
      <c r="B792" s="136"/>
      <c r="C792" s="136"/>
    </row>
    <row r="793" spans="2:3" ht="12.75">
      <c r="B793" s="136"/>
      <c r="C793" s="136"/>
    </row>
    <row r="794" spans="2:3" ht="12.75">
      <c r="B794" s="136"/>
      <c r="C794" s="136"/>
    </row>
    <row r="795" spans="2:3" ht="12.75">
      <c r="B795" s="136"/>
      <c r="C795" s="136"/>
    </row>
    <row r="796" spans="2:3" ht="12.75">
      <c r="B796" s="136"/>
      <c r="C796" s="136"/>
    </row>
    <row r="797" spans="2:3" ht="12.75">
      <c r="B797" s="136"/>
      <c r="C797" s="136"/>
    </row>
    <row r="798" spans="2:3" ht="12.75">
      <c r="B798" s="136"/>
      <c r="C798" s="136"/>
    </row>
    <row r="799" spans="2:3" ht="12.75">
      <c r="B799" s="136"/>
      <c r="C799" s="136"/>
    </row>
    <row r="800" spans="2:3" ht="12.75">
      <c r="B800" s="136"/>
      <c r="C800" s="136"/>
    </row>
    <row r="801" spans="2:3" ht="12.75">
      <c r="B801" s="136"/>
      <c r="C801" s="136"/>
    </row>
    <row r="802" spans="2:3" ht="12.75">
      <c r="B802" s="136"/>
      <c r="C802" s="136"/>
    </row>
    <row r="803" spans="2:3" ht="12.75">
      <c r="B803" s="136"/>
      <c r="C803" s="136"/>
    </row>
    <row r="804" spans="2:3" ht="12.75">
      <c r="B804" s="136"/>
      <c r="C804" s="136"/>
    </row>
    <row r="805" spans="2:3" ht="12.75">
      <c r="B805" s="136"/>
      <c r="C805" s="136"/>
    </row>
    <row r="806" spans="2:3" ht="12.75">
      <c r="B806" s="136"/>
      <c r="C806" s="136"/>
    </row>
    <row r="807" spans="2:3" ht="12.75">
      <c r="B807" s="136"/>
      <c r="C807" s="136"/>
    </row>
    <row r="808" spans="2:3" ht="12.75">
      <c r="B808" s="136"/>
      <c r="C808" s="136"/>
    </row>
    <row r="809" spans="2:3" ht="12.75">
      <c r="B809" s="136"/>
      <c r="C809" s="136"/>
    </row>
    <row r="810" spans="2:3" ht="12.75">
      <c r="B810" s="136"/>
      <c r="C810" s="136"/>
    </row>
    <row r="811" spans="2:3" ht="12.75">
      <c r="B811" s="136"/>
      <c r="C811" s="136"/>
    </row>
    <row r="812" spans="2:3" ht="12.75">
      <c r="B812" s="136"/>
      <c r="C812" s="136"/>
    </row>
    <row r="813" spans="2:3" ht="12.75">
      <c r="B813" s="136"/>
      <c r="C813" s="136"/>
    </row>
    <row r="814" spans="2:3" ht="12.75">
      <c r="B814" s="136"/>
      <c r="C814" s="136"/>
    </row>
    <row r="815" spans="2:3" ht="12.75">
      <c r="B815" s="136"/>
      <c r="C815" s="136"/>
    </row>
    <row r="816" spans="2:3" ht="12.75">
      <c r="B816" s="136"/>
      <c r="C816" s="136"/>
    </row>
    <row r="817" spans="2:3" ht="12.75">
      <c r="B817" s="136"/>
      <c r="C817" s="136"/>
    </row>
    <row r="818" spans="2:3" ht="12.75">
      <c r="B818" s="136"/>
      <c r="C818" s="136"/>
    </row>
    <row r="819" spans="2:3" ht="12.75">
      <c r="B819" s="136"/>
      <c r="C819" s="136"/>
    </row>
    <row r="820" spans="2:3" ht="12.75">
      <c r="B820" s="136"/>
      <c r="C820" s="136"/>
    </row>
    <row r="821" spans="2:3" ht="12.75">
      <c r="B821" s="136"/>
      <c r="C821" s="136"/>
    </row>
    <row r="822" spans="2:3" ht="12.75">
      <c r="B822" s="136"/>
      <c r="C822" s="136"/>
    </row>
    <row r="823" spans="2:3" ht="12.75">
      <c r="B823" s="136"/>
      <c r="C823" s="136"/>
    </row>
    <row r="824" spans="2:3" ht="12.75">
      <c r="B824" s="136"/>
      <c r="C824" s="136"/>
    </row>
    <row r="825" spans="2:3" ht="12.75">
      <c r="B825" s="136"/>
      <c r="C825" s="136"/>
    </row>
    <row r="826" spans="2:3" ht="12.75">
      <c r="B826" s="136"/>
      <c r="C826" s="136"/>
    </row>
    <row r="827" spans="2:3" ht="12.75">
      <c r="B827" s="136"/>
      <c r="C827" s="136"/>
    </row>
    <row r="828" spans="2:3" ht="12.75">
      <c r="B828" s="136"/>
      <c r="C828" s="136"/>
    </row>
    <row r="829" spans="2:3" ht="12.75">
      <c r="B829" s="136"/>
      <c r="C829" s="136"/>
    </row>
    <row r="830" spans="2:3" ht="12.75">
      <c r="B830" s="136"/>
      <c r="C830" s="136"/>
    </row>
    <row r="831" spans="2:3" ht="12.75">
      <c r="B831" s="136"/>
      <c r="C831" s="136"/>
    </row>
    <row r="832" spans="2:3" ht="12.75">
      <c r="B832" s="136"/>
      <c r="C832" s="136"/>
    </row>
    <row r="833" spans="2:3" ht="12.75">
      <c r="B833" s="136"/>
      <c r="C833" s="136"/>
    </row>
    <row r="834" spans="2:3" ht="12.75">
      <c r="B834" s="136"/>
      <c r="C834" s="136"/>
    </row>
    <row r="835" spans="2:3" ht="12.75">
      <c r="B835" s="136"/>
      <c r="C835" s="136"/>
    </row>
    <row r="836" spans="2:3" ht="12.75">
      <c r="B836" s="136"/>
      <c r="C836" s="136"/>
    </row>
    <row r="837" spans="2:3" ht="12.75">
      <c r="B837" s="136"/>
      <c r="C837" s="136"/>
    </row>
    <row r="838" spans="2:3" ht="12.75">
      <c r="B838" s="136"/>
      <c r="C838" s="136"/>
    </row>
    <row r="839" spans="2:3" ht="12.75">
      <c r="B839" s="136"/>
      <c r="C839" s="136"/>
    </row>
    <row r="840" spans="2:3" ht="12.75">
      <c r="B840" s="136"/>
      <c r="C840" s="136"/>
    </row>
    <row r="841" spans="2:3" ht="12.75">
      <c r="B841" s="136"/>
      <c r="C841" s="136"/>
    </row>
    <row r="842" spans="2:3" ht="12.75">
      <c r="B842" s="136"/>
      <c r="C842" s="136"/>
    </row>
    <row r="843" spans="2:3" ht="12.75">
      <c r="B843" s="136"/>
      <c r="C843" s="1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U50"/>
  <sheetViews>
    <sheetView zoomScale="90" zoomScaleNormal="90" zoomScalePageLayoutView="0" workbookViewId="0" topLeftCell="B25">
      <selection activeCell="K33" sqref="K33"/>
    </sheetView>
  </sheetViews>
  <sheetFormatPr defaultColWidth="9.00390625" defaultRowHeight="12.75"/>
  <cols>
    <col min="1" max="1" width="12.125" style="1" customWidth="1"/>
    <col min="2" max="2" width="14.75390625" style="1" bestFit="1" customWidth="1"/>
    <col min="3" max="3" width="9.125" style="1" customWidth="1"/>
    <col min="4" max="4" width="10.625" style="1" customWidth="1"/>
    <col min="5" max="10" width="9.125" style="1" customWidth="1"/>
    <col min="11" max="11" width="11.25390625" style="1" customWidth="1"/>
    <col min="12" max="12" width="10.125" style="1" customWidth="1"/>
    <col min="13" max="13" width="9.125" style="1" customWidth="1"/>
    <col min="14" max="14" width="17.62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0.875" style="1" customWidth="1"/>
    <col min="19" max="19" width="9.125" style="2" customWidth="1"/>
    <col min="20" max="20" width="15.00390625" style="2" bestFit="1" customWidth="1"/>
    <col min="21" max="21" width="12.125" style="2" customWidth="1"/>
  </cols>
  <sheetData>
    <row r="1" spans="3:16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O1" s="265" t="s">
        <v>28</v>
      </c>
      <c r="P1" s="265"/>
    </row>
    <row r="2" spans="2:21" ht="32.25" thickBot="1">
      <c r="B2" s="3" t="s">
        <v>25</v>
      </c>
      <c r="C2" s="9" t="s">
        <v>41</v>
      </c>
      <c r="D2" s="9" t="s">
        <v>42</v>
      </c>
      <c r="E2" s="9" t="s">
        <v>43</v>
      </c>
      <c r="F2" s="9" t="s">
        <v>44</v>
      </c>
      <c r="G2" s="9" t="s">
        <v>45</v>
      </c>
      <c r="H2" s="9" t="s">
        <v>46</v>
      </c>
      <c r="I2" s="9" t="s">
        <v>112</v>
      </c>
      <c r="J2" s="9" t="s">
        <v>133</v>
      </c>
      <c r="K2" s="9" t="s">
        <v>127</v>
      </c>
      <c r="L2" s="9"/>
      <c r="M2" s="9" t="s">
        <v>209</v>
      </c>
      <c r="N2" s="3" t="s">
        <v>30</v>
      </c>
      <c r="O2" s="3" t="s">
        <v>26</v>
      </c>
      <c r="P2" s="3" t="s">
        <v>29</v>
      </c>
      <c r="Q2" s="3" t="s">
        <v>31</v>
      </c>
      <c r="R2" s="11" t="s">
        <v>116</v>
      </c>
      <c r="S2" s="2" t="s">
        <v>191</v>
      </c>
      <c r="T2" s="2" t="s">
        <v>192</v>
      </c>
      <c r="U2" s="2" t="s">
        <v>193</v>
      </c>
    </row>
    <row r="3" spans="1:21" s="34" customFormat="1" ht="15.75">
      <c r="A3" s="29" t="s">
        <v>0</v>
      </c>
      <c r="B3" s="29" t="s">
        <v>21</v>
      </c>
      <c r="C3" s="103">
        <v>454</v>
      </c>
      <c r="D3" s="30">
        <v>415</v>
      </c>
      <c r="E3" s="103">
        <v>457</v>
      </c>
      <c r="F3" s="30"/>
      <c r="G3" s="103">
        <v>473</v>
      </c>
      <c r="H3" s="30"/>
      <c r="I3" s="30">
        <v>442</v>
      </c>
      <c r="J3" s="103">
        <v>447</v>
      </c>
      <c r="K3" s="30"/>
      <c r="L3" s="30"/>
      <c r="M3" s="31"/>
      <c r="N3" s="32">
        <f>SUM(C3:M3)</f>
        <v>2688</v>
      </c>
      <c r="O3" s="29">
        <v>6</v>
      </c>
      <c r="P3" s="29">
        <v>2</v>
      </c>
      <c r="Q3" s="32">
        <f>N3-2561</f>
        <v>127</v>
      </c>
      <c r="R3" s="29">
        <v>2</v>
      </c>
      <c r="S3" s="33">
        <v>1</v>
      </c>
      <c r="T3" s="33"/>
      <c r="U3" s="33"/>
    </row>
    <row r="4" spans="1:21" s="25" customFormat="1" ht="15.75">
      <c r="A4" s="20" t="s">
        <v>1</v>
      </c>
      <c r="B4" s="20" t="s">
        <v>15</v>
      </c>
      <c r="C4" s="98">
        <v>460</v>
      </c>
      <c r="D4" s="21">
        <v>432</v>
      </c>
      <c r="E4" s="98">
        <v>457</v>
      </c>
      <c r="F4" s="21"/>
      <c r="G4" s="98">
        <v>483</v>
      </c>
      <c r="H4" s="21"/>
      <c r="I4" s="21">
        <v>420</v>
      </c>
      <c r="J4" s="21">
        <v>414</v>
      </c>
      <c r="K4" s="21"/>
      <c r="L4" s="21"/>
      <c r="M4" s="22"/>
      <c r="N4" s="23">
        <f aca="true" t="shared" si="0" ref="N4:N17">SUM(C4:M4)</f>
        <v>2666</v>
      </c>
      <c r="O4" s="20">
        <v>5</v>
      </c>
      <c r="P4" s="20">
        <v>3</v>
      </c>
      <c r="Q4" s="23">
        <v>91</v>
      </c>
      <c r="R4" s="20">
        <v>2</v>
      </c>
      <c r="S4" s="24">
        <v>1</v>
      </c>
      <c r="T4" s="24"/>
      <c r="U4" s="24"/>
    </row>
    <row r="5" spans="1:21" s="25" customFormat="1" ht="15.75">
      <c r="A5" s="20" t="s">
        <v>2</v>
      </c>
      <c r="B5" s="20" t="s">
        <v>19</v>
      </c>
      <c r="C5" s="101">
        <v>447</v>
      </c>
      <c r="D5" s="21">
        <v>421</v>
      </c>
      <c r="E5" s="98">
        <v>469</v>
      </c>
      <c r="F5" s="98">
        <v>441</v>
      </c>
      <c r="G5" s="98">
        <v>440</v>
      </c>
      <c r="H5" s="21"/>
      <c r="I5" s="21">
        <v>438</v>
      </c>
      <c r="J5" s="21"/>
      <c r="K5" s="21"/>
      <c r="L5" s="21"/>
      <c r="M5" s="22"/>
      <c r="N5" s="23">
        <f t="shared" si="0"/>
        <v>2656</v>
      </c>
      <c r="O5" s="20">
        <v>6</v>
      </c>
      <c r="P5" s="20">
        <v>2</v>
      </c>
      <c r="Q5" s="20">
        <v>154</v>
      </c>
      <c r="R5" s="20">
        <v>2</v>
      </c>
      <c r="S5" s="24">
        <v>1</v>
      </c>
      <c r="T5" s="24"/>
      <c r="U5" s="24"/>
    </row>
    <row r="6" spans="1:21" s="34" customFormat="1" ht="15.75">
      <c r="A6" s="29" t="s">
        <v>3</v>
      </c>
      <c r="B6" s="29" t="s">
        <v>22</v>
      </c>
      <c r="C6" s="35"/>
      <c r="D6" s="103">
        <v>423</v>
      </c>
      <c r="E6" s="30"/>
      <c r="F6" s="103">
        <v>432</v>
      </c>
      <c r="G6" s="103">
        <v>477</v>
      </c>
      <c r="H6" s="103">
        <v>424</v>
      </c>
      <c r="I6" s="30">
        <v>409</v>
      </c>
      <c r="J6" s="103">
        <v>460</v>
      </c>
      <c r="K6" s="30"/>
      <c r="L6" s="30"/>
      <c r="M6" s="31"/>
      <c r="N6" s="32">
        <f t="shared" si="0"/>
        <v>2625</v>
      </c>
      <c r="O6" s="29">
        <v>7</v>
      </c>
      <c r="P6" s="29">
        <v>1</v>
      </c>
      <c r="Q6" s="32">
        <f>N6-2282</f>
        <v>343</v>
      </c>
      <c r="R6" s="29">
        <v>2</v>
      </c>
      <c r="S6" s="33">
        <v>1</v>
      </c>
      <c r="T6" s="33"/>
      <c r="U6" s="33"/>
    </row>
    <row r="7" spans="1:21" s="25" customFormat="1" ht="15.75">
      <c r="A7" s="20" t="s">
        <v>4</v>
      </c>
      <c r="B7" s="20" t="s">
        <v>214</v>
      </c>
      <c r="C7" s="37">
        <v>427</v>
      </c>
      <c r="D7" s="21"/>
      <c r="E7" s="98">
        <v>467</v>
      </c>
      <c r="F7" s="98">
        <v>449</v>
      </c>
      <c r="G7" s="21">
        <v>433</v>
      </c>
      <c r="H7" s="21"/>
      <c r="I7" s="98">
        <v>456</v>
      </c>
      <c r="J7" s="98">
        <v>455</v>
      </c>
      <c r="K7" s="21"/>
      <c r="L7" s="21"/>
      <c r="M7" s="22"/>
      <c r="N7" s="23">
        <f t="shared" si="0"/>
        <v>2687</v>
      </c>
      <c r="O7" s="20">
        <v>6</v>
      </c>
      <c r="P7" s="20">
        <v>2</v>
      </c>
      <c r="Q7" s="20">
        <v>97</v>
      </c>
      <c r="R7" s="20">
        <v>2</v>
      </c>
      <c r="S7" s="24">
        <v>1</v>
      </c>
      <c r="T7" s="24"/>
      <c r="U7" s="24"/>
    </row>
    <row r="8" spans="1:21" s="34" customFormat="1" ht="15.75">
      <c r="A8" s="29" t="s">
        <v>5</v>
      </c>
      <c r="B8" s="29" t="s">
        <v>215</v>
      </c>
      <c r="C8" s="35"/>
      <c r="D8" s="30"/>
      <c r="E8" s="103">
        <v>442</v>
      </c>
      <c r="F8" s="30">
        <v>432</v>
      </c>
      <c r="G8" s="103">
        <v>492</v>
      </c>
      <c r="H8" s="30"/>
      <c r="I8" s="103">
        <v>463</v>
      </c>
      <c r="J8" s="103">
        <v>452</v>
      </c>
      <c r="K8" s="30">
        <v>395</v>
      </c>
      <c r="L8" s="30"/>
      <c r="M8" s="31"/>
      <c r="N8" s="32">
        <f t="shared" si="0"/>
        <v>2676</v>
      </c>
      <c r="O8" s="29">
        <v>6</v>
      </c>
      <c r="P8" s="29">
        <v>2</v>
      </c>
      <c r="Q8" s="32">
        <f>N8-2529</f>
        <v>147</v>
      </c>
      <c r="R8" s="29">
        <v>2</v>
      </c>
      <c r="S8" s="33">
        <v>1</v>
      </c>
      <c r="T8" s="33"/>
      <c r="U8" s="33"/>
    </row>
    <row r="9" spans="1:21" s="25" customFormat="1" ht="15.75">
      <c r="A9" s="20" t="s">
        <v>6</v>
      </c>
      <c r="B9" s="20" t="s">
        <v>204</v>
      </c>
      <c r="C9" s="37"/>
      <c r="D9" s="21">
        <v>433</v>
      </c>
      <c r="E9" s="21"/>
      <c r="F9" s="21">
        <v>393</v>
      </c>
      <c r="G9" s="98">
        <v>445</v>
      </c>
      <c r="H9" s="98">
        <v>453</v>
      </c>
      <c r="I9" s="98">
        <v>458</v>
      </c>
      <c r="J9" s="98">
        <v>440</v>
      </c>
      <c r="K9" s="21"/>
      <c r="L9" s="21"/>
      <c r="M9" s="22"/>
      <c r="N9" s="23">
        <f t="shared" si="0"/>
        <v>2622</v>
      </c>
      <c r="O9" s="20">
        <v>6</v>
      </c>
      <c r="P9" s="20">
        <v>2</v>
      </c>
      <c r="Q9" s="23">
        <v>162</v>
      </c>
      <c r="R9" s="20">
        <v>2</v>
      </c>
      <c r="S9" s="24">
        <v>1</v>
      </c>
      <c r="T9" s="24"/>
      <c r="U9" s="24"/>
    </row>
    <row r="10" spans="1:21" s="34" customFormat="1" ht="15.75">
      <c r="A10" s="29" t="s">
        <v>7</v>
      </c>
      <c r="B10" s="29" t="s">
        <v>216</v>
      </c>
      <c r="C10" s="35">
        <v>412</v>
      </c>
      <c r="D10" s="30"/>
      <c r="E10" s="103">
        <v>442</v>
      </c>
      <c r="F10" s="30"/>
      <c r="G10" s="103">
        <v>463</v>
      </c>
      <c r="H10" s="30">
        <v>433</v>
      </c>
      <c r="I10" s="30">
        <v>413</v>
      </c>
      <c r="J10" s="103">
        <v>467</v>
      </c>
      <c r="K10" s="30"/>
      <c r="L10" s="30"/>
      <c r="M10" s="31"/>
      <c r="N10" s="32">
        <f t="shared" si="0"/>
        <v>2630</v>
      </c>
      <c r="O10" s="29">
        <v>5</v>
      </c>
      <c r="P10" s="29">
        <v>3</v>
      </c>
      <c r="Q10" s="32">
        <f>N10-2603</f>
        <v>27</v>
      </c>
      <c r="R10" s="29">
        <v>2</v>
      </c>
      <c r="S10" s="33">
        <v>1</v>
      </c>
      <c r="T10" s="33"/>
      <c r="U10" s="33"/>
    </row>
    <row r="11" spans="1:21" s="25" customFormat="1" ht="15.75">
      <c r="A11" s="20" t="s">
        <v>8</v>
      </c>
      <c r="B11" s="20" t="s">
        <v>217</v>
      </c>
      <c r="C11" s="37">
        <v>427</v>
      </c>
      <c r="D11" s="37"/>
      <c r="E11" s="101">
        <v>450</v>
      </c>
      <c r="F11" s="37">
        <v>429</v>
      </c>
      <c r="G11" s="37">
        <v>433</v>
      </c>
      <c r="H11" s="37"/>
      <c r="I11" s="101">
        <v>470</v>
      </c>
      <c r="J11" s="101">
        <v>446</v>
      </c>
      <c r="K11" s="37"/>
      <c r="L11" s="37"/>
      <c r="M11" s="22"/>
      <c r="N11" s="23">
        <f t="shared" si="0"/>
        <v>2655</v>
      </c>
      <c r="O11" s="20">
        <v>5</v>
      </c>
      <c r="P11" s="20">
        <v>3</v>
      </c>
      <c r="Q11" s="23">
        <v>94</v>
      </c>
      <c r="R11" s="20">
        <v>2</v>
      </c>
      <c r="S11" s="24">
        <v>1</v>
      </c>
      <c r="T11" s="24"/>
      <c r="U11" s="24"/>
    </row>
    <row r="12" spans="1:21" s="34" customFormat="1" ht="15.75">
      <c r="A12" s="29" t="s">
        <v>9</v>
      </c>
      <c r="B12" s="30" t="s">
        <v>18</v>
      </c>
      <c r="C12" s="35"/>
      <c r="D12" s="30">
        <v>391</v>
      </c>
      <c r="E12" s="30">
        <v>219</v>
      </c>
      <c r="F12" s="30">
        <v>413</v>
      </c>
      <c r="G12" s="103">
        <v>434</v>
      </c>
      <c r="H12" s="30"/>
      <c r="I12" s="103">
        <v>460</v>
      </c>
      <c r="J12" s="103">
        <v>473</v>
      </c>
      <c r="K12" s="30">
        <v>182</v>
      </c>
      <c r="L12" s="30"/>
      <c r="M12" s="31"/>
      <c r="N12" s="32">
        <f t="shared" si="0"/>
        <v>2572</v>
      </c>
      <c r="O12" s="29">
        <v>3</v>
      </c>
      <c r="P12" s="29">
        <v>5</v>
      </c>
      <c r="Q12" s="32">
        <f>N12-2608</f>
        <v>-36</v>
      </c>
      <c r="R12" s="29">
        <v>0</v>
      </c>
      <c r="S12" s="33"/>
      <c r="T12" s="33"/>
      <c r="U12" s="33">
        <v>1</v>
      </c>
    </row>
    <row r="13" spans="1:21" s="25" customFormat="1" ht="15.75">
      <c r="A13" s="20" t="s">
        <v>10</v>
      </c>
      <c r="B13" s="20" t="s">
        <v>23</v>
      </c>
      <c r="C13" s="101">
        <v>446</v>
      </c>
      <c r="D13" s="21"/>
      <c r="E13" s="98">
        <v>440</v>
      </c>
      <c r="F13" s="98">
        <v>465</v>
      </c>
      <c r="G13" s="98">
        <v>479</v>
      </c>
      <c r="H13" s="21"/>
      <c r="I13" s="21">
        <v>428</v>
      </c>
      <c r="J13" s="98">
        <v>461</v>
      </c>
      <c r="K13" s="21"/>
      <c r="L13" s="21"/>
      <c r="M13" s="22"/>
      <c r="N13" s="23">
        <f t="shared" si="0"/>
        <v>2719</v>
      </c>
      <c r="O13" s="20">
        <v>7</v>
      </c>
      <c r="P13" s="20">
        <v>1</v>
      </c>
      <c r="Q13" s="23">
        <v>229</v>
      </c>
      <c r="R13" s="20">
        <v>2</v>
      </c>
      <c r="S13" s="24">
        <v>1</v>
      </c>
      <c r="T13" s="24"/>
      <c r="U13" s="24"/>
    </row>
    <row r="14" spans="1:21" s="34" customFormat="1" ht="15.75">
      <c r="A14" s="29" t="s">
        <v>11</v>
      </c>
      <c r="B14" s="29" t="s">
        <v>20</v>
      </c>
      <c r="C14" s="35">
        <v>421</v>
      </c>
      <c r="D14" s="30"/>
      <c r="E14" s="103">
        <v>447</v>
      </c>
      <c r="F14" s="30">
        <v>395</v>
      </c>
      <c r="G14" s="103">
        <v>444</v>
      </c>
      <c r="H14" s="30">
        <v>425</v>
      </c>
      <c r="I14" s="103">
        <v>455</v>
      </c>
      <c r="J14" s="30"/>
      <c r="K14" s="30"/>
      <c r="L14" s="30"/>
      <c r="M14" s="31"/>
      <c r="N14" s="32">
        <f t="shared" si="0"/>
        <v>2587</v>
      </c>
      <c r="O14" s="29">
        <v>5</v>
      </c>
      <c r="P14" s="29">
        <v>3</v>
      </c>
      <c r="Q14" s="32">
        <v>10</v>
      </c>
      <c r="R14" s="29">
        <v>2</v>
      </c>
      <c r="S14" s="33">
        <v>1</v>
      </c>
      <c r="T14" s="33"/>
      <c r="U14" s="33"/>
    </row>
    <row r="15" spans="1:21" s="25" customFormat="1" ht="15.75">
      <c r="A15" s="20" t="s">
        <v>12</v>
      </c>
      <c r="B15" s="20" t="s">
        <v>218</v>
      </c>
      <c r="C15" s="37"/>
      <c r="D15" s="21">
        <v>425</v>
      </c>
      <c r="E15" s="98">
        <v>475</v>
      </c>
      <c r="F15" s="98">
        <v>442</v>
      </c>
      <c r="G15" s="21"/>
      <c r="H15" s="21">
        <v>435</v>
      </c>
      <c r="I15" s="98">
        <v>441</v>
      </c>
      <c r="J15" s="98">
        <v>469</v>
      </c>
      <c r="K15" s="21"/>
      <c r="L15" s="21"/>
      <c r="M15" s="22"/>
      <c r="N15" s="23">
        <f t="shared" si="0"/>
        <v>2687</v>
      </c>
      <c r="O15" s="20">
        <v>6</v>
      </c>
      <c r="P15" s="20">
        <v>2</v>
      </c>
      <c r="Q15" s="23">
        <f>N15-2480</f>
        <v>207</v>
      </c>
      <c r="R15" s="20">
        <v>2</v>
      </c>
      <c r="S15" s="24">
        <v>1</v>
      </c>
      <c r="T15" s="24"/>
      <c r="U15" s="24"/>
    </row>
    <row r="16" spans="1:21" s="34" customFormat="1" ht="15.75">
      <c r="A16" s="29" t="s">
        <v>13</v>
      </c>
      <c r="B16" s="29" t="s">
        <v>24</v>
      </c>
      <c r="C16" s="35">
        <v>429</v>
      </c>
      <c r="D16" s="30"/>
      <c r="E16" s="103">
        <v>447</v>
      </c>
      <c r="F16" s="162">
        <v>428</v>
      </c>
      <c r="G16" s="103">
        <v>457</v>
      </c>
      <c r="H16" s="30"/>
      <c r="I16" s="30">
        <v>409</v>
      </c>
      <c r="J16" s="30">
        <v>412</v>
      </c>
      <c r="K16" s="30"/>
      <c r="L16" s="30"/>
      <c r="M16" s="31"/>
      <c r="N16" s="153">
        <f t="shared" si="0"/>
        <v>2582</v>
      </c>
      <c r="O16" s="29">
        <v>2</v>
      </c>
      <c r="P16" s="29">
        <v>6</v>
      </c>
      <c r="Q16" s="32">
        <v>-18</v>
      </c>
      <c r="R16" s="29">
        <v>0</v>
      </c>
      <c r="S16" s="33"/>
      <c r="T16" s="33"/>
      <c r="U16" s="33">
        <v>1</v>
      </c>
    </row>
    <row r="17" spans="1:21" s="25" customFormat="1" ht="16.5" thickBot="1">
      <c r="A17" s="20" t="s">
        <v>14</v>
      </c>
      <c r="B17" s="20" t="s">
        <v>17</v>
      </c>
      <c r="C17" s="171">
        <v>440</v>
      </c>
      <c r="D17" s="26"/>
      <c r="E17" s="26">
        <v>430</v>
      </c>
      <c r="F17" s="26">
        <v>415</v>
      </c>
      <c r="G17" s="171">
        <v>442</v>
      </c>
      <c r="H17" s="26"/>
      <c r="I17" s="171">
        <v>473</v>
      </c>
      <c r="J17" s="171">
        <v>446</v>
      </c>
      <c r="K17" s="26"/>
      <c r="L17" s="26"/>
      <c r="M17" s="84"/>
      <c r="N17" s="27">
        <f t="shared" si="0"/>
        <v>2646</v>
      </c>
      <c r="O17" s="28">
        <v>6</v>
      </c>
      <c r="P17" s="28">
        <v>2</v>
      </c>
      <c r="Q17" s="28">
        <v>97</v>
      </c>
      <c r="R17" s="28">
        <v>2</v>
      </c>
      <c r="S17" s="107">
        <v>1</v>
      </c>
      <c r="T17" s="107"/>
      <c r="U17" s="107"/>
    </row>
    <row r="18" spans="3:21" ht="16.5" thickTop="1">
      <c r="C18" s="6">
        <f aca="true" t="shared" si="1" ref="C18:M18">SUM(C3:C17)</f>
        <v>4363</v>
      </c>
      <c r="D18" s="6">
        <f t="shared" si="1"/>
        <v>2940</v>
      </c>
      <c r="E18" s="6">
        <f>SUM(E3:E11)+SUM(E13:E17)</f>
        <v>5423</v>
      </c>
      <c r="F18" s="6">
        <f t="shared" si="1"/>
        <v>5134</v>
      </c>
      <c r="G18" s="6">
        <f t="shared" si="1"/>
        <v>6395</v>
      </c>
      <c r="H18" s="6">
        <f t="shared" si="1"/>
        <v>2170</v>
      </c>
      <c r="I18" s="6">
        <f t="shared" si="1"/>
        <v>6635</v>
      </c>
      <c r="J18" s="6">
        <f t="shared" si="1"/>
        <v>5842</v>
      </c>
      <c r="K18" s="6">
        <f>SUM(K3:K10)</f>
        <v>395</v>
      </c>
      <c r="L18" s="6"/>
      <c r="M18" s="6">
        <f t="shared" si="1"/>
        <v>0</v>
      </c>
      <c r="S18" s="2">
        <f>SUM(S3:S17)</f>
        <v>13</v>
      </c>
      <c r="T18" s="2">
        <f>SUM(T3:T17)</f>
        <v>0</v>
      </c>
      <c r="U18" s="2">
        <f>SUM(U3:U17)</f>
        <v>2</v>
      </c>
    </row>
    <row r="19" spans="2:13" ht="15.75">
      <c r="B19" s="1" t="s">
        <v>248</v>
      </c>
      <c r="C19" s="6">
        <f>COUNT(C3:C17)</f>
        <v>10</v>
      </c>
      <c r="D19" s="6">
        <f aca="true" t="shared" si="2" ref="D19:M19">COUNT(D3:D17)</f>
        <v>7</v>
      </c>
      <c r="E19" s="6">
        <f>COUNT(E3:E11)+COUNT(E13:E17)</f>
        <v>12</v>
      </c>
      <c r="F19" s="6">
        <f t="shared" si="2"/>
        <v>12</v>
      </c>
      <c r="G19" s="6">
        <f t="shared" si="2"/>
        <v>14</v>
      </c>
      <c r="H19" s="6">
        <f t="shared" si="2"/>
        <v>5</v>
      </c>
      <c r="I19" s="6">
        <f t="shared" si="2"/>
        <v>15</v>
      </c>
      <c r="J19" s="6">
        <f t="shared" si="2"/>
        <v>13</v>
      </c>
      <c r="K19" s="6">
        <f>COUNT(K3:K10)</f>
        <v>1</v>
      </c>
      <c r="L19" s="6"/>
      <c r="M19" s="6">
        <f t="shared" si="2"/>
        <v>0</v>
      </c>
    </row>
    <row r="20" spans="2:21" ht="33" customHeight="1">
      <c r="B20" s="12" t="s">
        <v>129</v>
      </c>
      <c r="C20" s="17">
        <f>AVERAGE(C3:C17)</f>
        <v>436.3</v>
      </c>
      <c r="D20" s="17">
        <f aca="true" t="shared" si="3" ref="D20:J20">AVERAGE(D3:D17)</f>
        <v>420</v>
      </c>
      <c r="E20" s="17">
        <f>E18/E19</f>
        <v>451.9166666666667</v>
      </c>
      <c r="F20" s="17">
        <f t="shared" si="3"/>
        <v>427.8333333333333</v>
      </c>
      <c r="G20" s="17">
        <f t="shared" si="3"/>
        <v>456.7857142857143</v>
      </c>
      <c r="H20" s="17">
        <f t="shared" si="3"/>
        <v>434</v>
      </c>
      <c r="I20" s="17">
        <f t="shared" si="3"/>
        <v>442.3333333333333</v>
      </c>
      <c r="J20" s="17">
        <f t="shared" si="3"/>
        <v>449.38461538461536</v>
      </c>
      <c r="K20" s="17">
        <f>K18/K19</f>
        <v>395</v>
      </c>
      <c r="L20" s="17"/>
      <c r="M20" s="17"/>
      <c r="N20" s="3" t="s">
        <v>30</v>
      </c>
      <c r="O20" s="265" t="s">
        <v>117</v>
      </c>
      <c r="P20" s="265"/>
      <c r="Q20" s="3" t="s">
        <v>31</v>
      </c>
      <c r="R20" s="11" t="s">
        <v>118</v>
      </c>
      <c r="T20" s="14" t="s">
        <v>128</v>
      </c>
      <c r="U20" s="105" t="s">
        <v>247</v>
      </c>
    </row>
    <row r="21" spans="14:21" ht="15.75">
      <c r="N21" s="6">
        <f>SUM(N3:N17)</f>
        <v>39698</v>
      </c>
      <c r="O21" s="6">
        <f>SUM(O3:O17)</f>
        <v>81</v>
      </c>
      <c r="P21" s="6">
        <f>SUM(P3:P17)</f>
        <v>39</v>
      </c>
      <c r="Q21" s="6">
        <f>SUM(Q3:Q17)</f>
        <v>1731</v>
      </c>
      <c r="R21" s="6">
        <f>SUM(R3:R17)</f>
        <v>26</v>
      </c>
      <c r="T21" s="2">
        <f>O21-P21</f>
        <v>42</v>
      </c>
      <c r="U21" s="2">
        <f>SUM(S18:U18)</f>
        <v>15</v>
      </c>
    </row>
    <row r="22" spans="3:4" ht="15.75">
      <c r="C22" s="270" t="s">
        <v>40</v>
      </c>
      <c r="D22" s="270"/>
    </row>
    <row r="23" spans="3:15" ht="15.75">
      <c r="C23" s="268" t="s">
        <v>134</v>
      </c>
      <c r="D23" s="268"/>
      <c r="N23" s="1" t="s">
        <v>130</v>
      </c>
      <c r="O23" s="19">
        <f>N21/U21</f>
        <v>2646.5333333333333</v>
      </c>
    </row>
    <row r="24" spans="3:15" ht="15.75">
      <c r="C24" s="269" t="s">
        <v>135</v>
      </c>
      <c r="D24" s="269"/>
      <c r="N24" s="1" t="s">
        <v>260</v>
      </c>
      <c r="O24" s="6">
        <f>N3+N6+N8+N10+N12+N14+N16+N31+N33+N35+N37+N39+N40+N42+N44</f>
        <v>38766</v>
      </c>
    </row>
    <row r="25" spans="9:14" ht="15.75">
      <c r="I25" s="262" t="s">
        <v>154</v>
      </c>
      <c r="J25" s="262"/>
      <c r="K25" s="12" t="s">
        <v>155</v>
      </c>
      <c r="L25" s="12"/>
      <c r="M25" s="262" t="s">
        <v>128</v>
      </c>
      <c r="N25" s="262"/>
    </row>
    <row r="26" spans="1:14" ht="15.75">
      <c r="A26" s="73" t="s">
        <v>144</v>
      </c>
      <c r="B26" s="77"/>
      <c r="C26" s="74" t="s">
        <v>141</v>
      </c>
      <c r="D26" s="74" t="s">
        <v>142</v>
      </c>
      <c r="E26" s="266" t="s">
        <v>143</v>
      </c>
      <c r="F26" s="266"/>
      <c r="I26" s="6">
        <f>O21+O45</f>
        <v>153</v>
      </c>
      <c r="J26" s="1">
        <f>P21+P45</f>
        <v>87</v>
      </c>
      <c r="K26" s="1">
        <f>R21+R45</f>
        <v>48</v>
      </c>
      <c r="M26" s="267">
        <f>I26-J26</f>
        <v>66</v>
      </c>
      <c r="N26" s="267"/>
    </row>
    <row r="27" ht="15.75">
      <c r="F27" s="56"/>
    </row>
    <row r="28" spans="1:6" ht="15.75">
      <c r="A28" s="58"/>
      <c r="C28" s="56"/>
      <c r="D28" s="56"/>
      <c r="E28" s="57"/>
      <c r="F28" s="56"/>
    </row>
    <row r="29" spans="2:21" ht="32.25" thickBot="1">
      <c r="B29" s="3" t="s">
        <v>25</v>
      </c>
      <c r="C29" s="9" t="s">
        <v>41</v>
      </c>
      <c r="D29" s="9" t="s">
        <v>42</v>
      </c>
      <c r="E29" s="9" t="s">
        <v>43</v>
      </c>
      <c r="F29" s="9" t="s">
        <v>44</v>
      </c>
      <c r="G29" s="9" t="s">
        <v>45</v>
      </c>
      <c r="H29" s="9" t="s">
        <v>46</v>
      </c>
      <c r="I29" s="9" t="s">
        <v>112</v>
      </c>
      <c r="J29" s="9" t="s">
        <v>133</v>
      </c>
      <c r="K29" s="9" t="s">
        <v>127</v>
      </c>
      <c r="L29" s="261" t="s">
        <v>139</v>
      </c>
      <c r="M29" s="9" t="s">
        <v>209</v>
      </c>
      <c r="N29" s="3" t="s">
        <v>30</v>
      </c>
      <c r="O29" s="3" t="s">
        <v>26</v>
      </c>
      <c r="P29" s="3" t="s">
        <v>29</v>
      </c>
      <c r="Q29" s="3" t="s">
        <v>31</v>
      </c>
      <c r="R29" s="11" t="s">
        <v>116</v>
      </c>
      <c r="S29" s="2" t="s">
        <v>191</v>
      </c>
      <c r="T29" s="2" t="s">
        <v>192</v>
      </c>
      <c r="U29" s="2" t="s">
        <v>193</v>
      </c>
    </row>
    <row r="30" spans="1:21" s="148" customFormat="1" ht="15.75">
      <c r="A30" s="144" t="s">
        <v>221</v>
      </c>
      <c r="B30" s="144" t="s">
        <v>20</v>
      </c>
      <c r="C30" s="185">
        <v>444</v>
      </c>
      <c r="D30" s="145"/>
      <c r="E30" s="185">
        <v>460</v>
      </c>
      <c r="F30" s="185">
        <v>439</v>
      </c>
      <c r="G30" s="185">
        <v>466</v>
      </c>
      <c r="H30" s="145"/>
      <c r="I30" s="185">
        <v>505</v>
      </c>
      <c r="J30" s="185">
        <v>443</v>
      </c>
      <c r="K30" s="145"/>
      <c r="L30" s="145"/>
      <c r="M30" s="145"/>
      <c r="N30" s="146">
        <f aca="true" t="shared" si="4" ref="N30:N44">SUM(C30:M30)</f>
        <v>2757</v>
      </c>
      <c r="O30" s="144">
        <v>8</v>
      </c>
      <c r="P30" s="144">
        <v>0</v>
      </c>
      <c r="Q30" s="144">
        <f>N30-2468</f>
        <v>289</v>
      </c>
      <c r="R30" s="144">
        <v>2</v>
      </c>
      <c r="S30" s="147">
        <v>1</v>
      </c>
      <c r="T30" s="147"/>
      <c r="U30" s="147"/>
    </row>
    <row r="31" spans="1:21" s="158" customFormat="1" ht="15.75">
      <c r="A31" s="154" t="s">
        <v>222</v>
      </c>
      <c r="B31" s="154" t="s">
        <v>23</v>
      </c>
      <c r="C31" s="187">
        <v>424</v>
      </c>
      <c r="D31" s="155">
        <v>404</v>
      </c>
      <c r="E31" s="155">
        <v>419</v>
      </c>
      <c r="F31" s="155"/>
      <c r="G31" s="155">
        <v>396</v>
      </c>
      <c r="H31" s="155"/>
      <c r="I31" s="187">
        <v>439</v>
      </c>
      <c r="J31" s="187">
        <v>463</v>
      </c>
      <c r="K31" s="155"/>
      <c r="L31" s="155"/>
      <c r="M31" s="155"/>
      <c r="N31" s="156">
        <f t="shared" si="4"/>
        <v>2545</v>
      </c>
      <c r="O31" s="154">
        <v>5</v>
      </c>
      <c r="P31" s="154">
        <v>3</v>
      </c>
      <c r="Q31" s="154">
        <v>9</v>
      </c>
      <c r="R31" s="154">
        <v>2</v>
      </c>
      <c r="S31" s="157">
        <v>1</v>
      </c>
      <c r="T31" s="157"/>
      <c r="U31" s="157"/>
    </row>
    <row r="32" spans="1:21" s="148" customFormat="1" ht="15.75">
      <c r="A32" s="144" t="s">
        <v>156</v>
      </c>
      <c r="B32" s="144" t="s">
        <v>18</v>
      </c>
      <c r="C32" s="145">
        <v>419</v>
      </c>
      <c r="D32" s="145"/>
      <c r="E32" s="185">
        <v>476</v>
      </c>
      <c r="F32" s="145">
        <v>431</v>
      </c>
      <c r="G32" s="185">
        <v>486</v>
      </c>
      <c r="H32" s="145"/>
      <c r="I32" s="185">
        <v>448</v>
      </c>
      <c r="J32" s="185">
        <v>485</v>
      </c>
      <c r="K32" s="145"/>
      <c r="L32" s="145"/>
      <c r="M32" s="145"/>
      <c r="N32" s="146">
        <f t="shared" si="4"/>
        <v>2745</v>
      </c>
      <c r="O32" s="144">
        <v>6</v>
      </c>
      <c r="P32" s="144">
        <v>2</v>
      </c>
      <c r="Q32" s="144">
        <v>254</v>
      </c>
      <c r="R32" s="144">
        <v>2</v>
      </c>
      <c r="S32" s="147">
        <v>1</v>
      </c>
      <c r="T32" s="147"/>
      <c r="U32" s="147"/>
    </row>
    <row r="33" spans="1:21" s="158" customFormat="1" ht="15.75">
      <c r="A33" s="154" t="s">
        <v>157</v>
      </c>
      <c r="B33" s="154" t="s">
        <v>217</v>
      </c>
      <c r="C33" s="187">
        <v>431</v>
      </c>
      <c r="D33" s="155"/>
      <c r="E33" s="187">
        <v>418</v>
      </c>
      <c r="F33" s="155">
        <v>411</v>
      </c>
      <c r="G33" s="187">
        <v>450</v>
      </c>
      <c r="H33" s="155"/>
      <c r="I33" s="155">
        <v>418</v>
      </c>
      <c r="J33" s="187">
        <v>426</v>
      </c>
      <c r="K33" s="155"/>
      <c r="L33" s="155"/>
      <c r="M33" s="155"/>
      <c r="N33" s="156">
        <f t="shared" si="4"/>
        <v>2554</v>
      </c>
      <c r="O33" s="154">
        <v>6</v>
      </c>
      <c r="P33" s="154">
        <v>2</v>
      </c>
      <c r="Q33" s="154">
        <v>29</v>
      </c>
      <c r="R33" s="154">
        <v>2</v>
      </c>
      <c r="S33" s="157">
        <v>1</v>
      </c>
      <c r="T33" s="157"/>
      <c r="U33" s="157"/>
    </row>
    <row r="34" spans="1:21" s="148" customFormat="1" ht="15.75">
      <c r="A34" s="144" t="s">
        <v>158</v>
      </c>
      <c r="B34" s="144" t="s">
        <v>16</v>
      </c>
      <c r="C34" s="145">
        <v>441</v>
      </c>
      <c r="D34" s="145">
        <v>404</v>
      </c>
      <c r="E34" s="185">
        <v>483</v>
      </c>
      <c r="F34" s="145"/>
      <c r="G34" s="185">
        <v>501</v>
      </c>
      <c r="H34" s="145"/>
      <c r="I34" s="145">
        <v>409</v>
      </c>
      <c r="J34" s="185">
        <v>464</v>
      </c>
      <c r="K34" s="145"/>
      <c r="L34" s="145"/>
      <c r="M34" s="145"/>
      <c r="N34" s="146">
        <f>SUM(C34:M34)</f>
        <v>2702</v>
      </c>
      <c r="O34" s="144">
        <v>5</v>
      </c>
      <c r="P34" s="144">
        <v>3</v>
      </c>
      <c r="Q34" s="144">
        <f>N34-2664</f>
        <v>38</v>
      </c>
      <c r="R34" s="144">
        <v>2</v>
      </c>
      <c r="S34" s="147">
        <v>1</v>
      </c>
      <c r="T34" s="147"/>
      <c r="U34" s="147"/>
    </row>
    <row r="35" spans="1:21" s="158" customFormat="1" ht="15.75">
      <c r="A35" s="154" t="s">
        <v>159</v>
      </c>
      <c r="B35" s="154" t="s">
        <v>204</v>
      </c>
      <c r="D35" s="187">
        <v>429</v>
      </c>
      <c r="E35" s="187">
        <v>468</v>
      </c>
      <c r="F35" s="155">
        <v>397</v>
      </c>
      <c r="G35" s="187">
        <v>460</v>
      </c>
      <c r="H35" s="155"/>
      <c r="I35" s="187">
        <v>435</v>
      </c>
      <c r="J35" s="187">
        <v>464</v>
      </c>
      <c r="K35" s="155"/>
      <c r="L35" s="155"/>
      <c r="M35" s="155"/>
      <c r="N35" s="156">
        <f>SUM(C35:M35)</f>
        <v>2653</v>
      </c>
      <c r="O35" s="154">
        <v>7</v>
      </c>
      <c r="P35" s="154">
        <v>1</v>
      </c>
      <c r="Q35" s="154">
        <v>184</v>
      </c>
      <c r="R35" s="154">
        <v>2</v>
      </c>
      <c r="S35" s="157">
        <v>1</v>
      </c>
      <c r="T35" s="157"/>
      <c r="U35" s="157"/>
    </row>
    <row r="36" spans="1:21" s="148" customFormat="1" ht="15.75">
      <c r="A36" s="144" t="s">
        <v>160</v>
      </c>
      <c r="B36" s="144" t="s">
        <v>223</v>
      </c>
      <c r="C36" s="145">
        <v>430</v>
      </c>
      <c r="D36" s="185">
        <v>464</v>
      </c>
      <c r="E36" s="145">
        <v>421</v>
      </c>
      <c r="F36" s="145"/>
      <c r="G36" s="185">
        <v>448</v>
      </c>
      <c r="H36" s="145">
        <v>438</v>
      </c>
      <c r="I36" s="185">
        <v>452</v>
      </c>
      <c r="J36" s="145"/>
      <c r="K36" s="145"/>
      <c r="L36" s="145"/>
      <c r="M36" s="145"/>
      <c r="N36" s="146">
        <f t="shared" si="4"/>
        <v>2653</v>
      </c>
      <c r="O36" s="144">
        <v>5</v>
      </c>
      <c r="P36" s="144">
        <v>3</v>
      </c>
      <c r="Q36" s="144">
        <v>67</v>
      </c>
      <c r="R36" s="144">
        <v>2</v>
      </c>
      <c r="S36" s="147">
        <v>1</v>
      </c>
      <c r="T36" s="147"/>
      <c r="U36" s="147"/>
    </row>
    <row r="37" spans="1:21" s="158" customFormat="1" ht="15.75">
      <c r="A37" s="154" t="s">
        <v>161</v>
      </c>
      <c r="B37" s="154" t="s">
        <v>214</v>
      </c>
      <c r="C37" s="155"/>
      <c r="D37" s="155">
        <v>420</v>
      </c>
      <c r="E37" s="155">
        <v>419</v>
      </c>
      <c r="F37" s="155"/>
      <c r="G37" s="187">
        <v>451</v>
      </c>
      <c r="H37" s="155">
        <v>415</v>
      </c>
      <c r="I37" s="187">
        <v>427</v>
      </c>
      <c r="J37" s="187">
        <v>440</v>
      </c>
      <c r="K37" s="155"/>
      <c r="L37" s="155"/>
      <c r="M37" s="155"/>
      <c r="N37" s="156">
        <f t="shared" si="4"/>
        <v>2572</v>
      </c>
      <c r="O37" s="154">
        <v>5</v>
      </c>
      <c r="P37" s="154">
        <v>3</v>
      </c>
      <c r="Q37" s="154">
        <f>N37-2463</f>
        <v>109</v>
      </c>
      <c r="R37" s="154">
        <v>2</v>
      </c>
      <c r="S37" s="157">
        <v>1</v>
      </c>
      <c r="T37" s="157"/>
      <c r="U37" s="157"/>
    </row>
    <row r="38" spans="1:21" s="148" customFormat="1" ht="15.75">
      <c r="A38" s="144" t="s">
        <v>162</v>
      </c>
      <c r="B38" s="144" t="s">
        <v>22</v>
      </c>
      <c r="C38" s="145"/>
      <c r="D38" s="145"/>
      <c r="E38" s="185">
        <v>450</v>
      </c>
      <c r="F38" s="145">
        <v>405</v>
      </c>
      <c r="G38" s="185">
        <v>432</v>
      </c>
      <c r="H38" s="185">
        <v>406</v>
      </c>
      <c r="I38" s="145">
        <v>385</v>
      </c>
      <c r="J38" s="145"/>
      <c r="K38" s="185">
        <v>412</v>
      </c>
      <c r="L38" s="185"/>
      <c r="M38" s="145"/>
      <c r="N38" s="146">
        <f t="shared" si="4"/>
        <v>2490</v>
      </c>
      <c r="O38" s="144">
        <v>6</v>
      </c>
      <c r="P38" s="144">
        <v>2</v>
      </c>
      <c r="Q38" s="144">
        <v>65</v>
      </c>
      <c r="R38" s="144">
        <v>2</v>
      </c>
      <c r="S38" s="147">
        <v>1</v>
      </c>
      <c r="T38" s="147"/>
      <c r="U38" s="147"/>
    </row>
    <row r="39" spans="1:21" s="158" customFormat="1" ht="15.75">
      <c r="A39" s="154" t="s">
        <v>163</v>
      </c>
      <c r="B39" s="162" t="s">
        <v>19</v>
      </c>
      <c r="C39" s="155">
        <v>396</v>
      </c>
      <c r="D39" s="222">
        <v>447</v>
      </c>
      <c r="E39" s="155">
        <v>422</v>
      </c>
      <c r="F39" s="155"/>
      <c r="G39" s="155">
        <v>418</v>
      </c>
      <c r="H39" s="155"/>
      <c r="I39" s="155">
        <v>428</v>
      </c>
      <c r="J39" s="155">
        <v>428</v>
      </c>
      <c r="K39" s="155"/>
      <c r="L39" s="155"/>
      <c r="M39" s="154"/>
      <c r="N39" s="156">
        <f t="shared" si="4"/>
        <v>2539</v>
      </c>
      <c r="O39" s="154">
        <v>1</v>
      </c>
      <c r="P39" s="154">
        <v>7</v>
      </c>
      <c r="Q39" s="154">
        <v>-70</v>
      </c>
      <c r="R39" s="154">
        <v>0</v>
      </c>
      <c r="S39" s="157"/>
      <c r="T39" s="157"/>
      <c r="U39" s="157">
        <v>1</v>
      </c>
    </row>
    <row r="40" spans="1:21" s="158" customFormat="1" ht="15.75">
      <c r="A40" s="154" t="s">
        <v>164</v>
      </c>
      <c r="B40" s="154" t="s">
        <v>15</v>
      </c>
      <c r="C40" s="222">
        <v>442</v>
      </c>
      <c r="D40" s="155">
        <v>429</v>
      </c>
      <c r="E40" s="222">
        <v>469</v>
      </c>
      <c r="F40" s="155"/>
      <c r="G40" s="222">
        <v>473</v>
      </c>
      <c r="H40" s="155"/>
      <c r="I40" s="155">
        <v>434</v>
      </c>
      <c r="J40" s="222">
        <v>448</v>
      </c>
      <c r="K40" s="155"/>
      <c r="L40" s="155"/>
      <c r="M40" s="154"/>
      <c r="N40" s="156">
        <f t="shared" si="4"/>
        <v>2695</v>
      </c>
      <c r="O40" s="154">
        <v>6</v>
      </c>
      <c r="P40" s="154">
        <v>2</v>
      </c>
      <c r="Q40" s="154">
        <f>2695-2614</f>
        <v>81</v>
      </c>
      <c r="R40" s="154">
        <v>2</v>
      </c>
      <c r="S40" s="157">
        <v>1</v>
      </c>
      <c r="T40" s="157"/>
      <c r="U40" s="157"/>
    </row>
    <row r="41" spans="1:21" s="148" customFormat="1" ht="15.75">
      <c r="A41" s="144" t="s">
        <v>165</v>
      </c>
      <c r="B41" s="144" t="s">
        <v>21</v>
      </c>
      <c r="C41" s="145">
        <v>401</v>
      </c>
      <c r="D41" s="145">
        <v>430</v>
      </c>
      <c r="E41" s="145"/>
      <c r="F41" s="145">
        <v>421</v>
      </c>
      <c r="G41" s="223">
        <v>482</v>
      </c>
      <c r="H41" s="145"/>
      <c r="I41" s="223">
        <v>439</v>
      </c>
      <c r="J41" s="223">
        <v>459</v>
      </c>
      <c r="K41" s="145"/>
      <c r="L41" s="145"/>
      <c r="M41" s="144"/>
      <c r="N41" s="146">
        <f t="shared" si="4"/>
        <v>2632</v>
      </c>
      <c r="O41" s="144">
        <v>5</v>
      </c>
      <c r="P41" s="144">
        <v>3</v>
      </c>
      <c r="Q41" s="144">
        <v>28</v>
      </c>
      <c r="R41" s="144">
        <v>2</v>
      </c>
      <c r="S41" s="147">
        <v>1</v>
      </c>
      <c r="T41" s="147"/>
      <c r="U41" s="147"/>
    </row>
    <row r="42" spans="1:21" s="158" customFormat="1" ht="15.75">
      <c r="A42" s="154" t="s">
        <v>166</v>
      </c>
      <c r="B42" s="154" t="s">
        <v>17</v>
      </c>
      <c r="C42" s="155"/>
      <c r="D42" s="222">
        <v>440</v>
      </c>
      <c r="E42" s="155"/>
      <c r="F42" s="155">
        <v>409</v>
      </c>
      <c r="G42" s="155"/>
      <c r="H42" s="155">
        <v>392</v>
      </c>
      <c r="I42" s="222">
        <v>442</v>
      </c>
      <c r="J42" s="222">
        <v>464</v>
      </c>
      <c r="K42" s="155">
        <v>435</v>
      </c>
      <c r="L42" s="155"/>
      <c r="M42" s="154"/>
      <c r="N42" s="156">
        <f t="shared" si="4"/>
        <v>2582</v>
      </c>
      <c r="O42" s="154">
        <v>3</v>
      </c>
      <c r="P42" s="154">
        <v>5</v>
      </c>
      <c r="Q42" s="154">
        <v>-98</v>
      </c>
      <c r="R42" s="154">
        <v>0</v>
      </c>
      <c r="S42" s="157"/>
      <c r="T42" s="157"/>
      <c r="U42" s="157">
        <v>1</v>
      </c>
    </row>
    <row r="43" spans="1:21" s="148" customFormat="1" ht="15.75">
      <c r="A43" s="144" t="s">
        <v>167</v>
      </c>
      <c r="B43" s="144" t="s">
        <v>24</v>
      </c>
      <c r="C43" s="145">
        <v>428</v>
      </c>
      <c r="D43" s="145">
        <v>430</v>
      </c>
      <c r="E43" s="223">
        <v>479</v>
      </c>
      <c r="F43" s="145"/>
      <c r="G43" s="145">
        <v>435</v>
      </c>
      <c r="H43" s="145"/>
      <c r="I43" s="145">
        <v>413</v>
      </c>
      <c r="J43" s="223">
        <v>438</v>
      </c>
      <c r="L43" s="37"/>
      <c r="M43" s="144"/>
      <c r="N43" s="146">
        <f t="shared" si="4"/>
        <v>2623</v>
      </c>
      <c r="O43" s="144">
        <v>2</v>
      </c>
      <c r="P43" s="144">
        <v>6</v>
      </c>
      <c r="Q43" s="144">
        <v>-62</v>
      </c>
      <c r="R43" s="144">
        <v>0</v>
      </c>
      <c r="S43" s="147"/>
      <c r="T43" s="147"/>
      <c r="U43" s="147">
        <v>1</v>
      </c>
    </row>
    <row r="44" spans="1:21" s="158" customFormat="1" ht="16.5" thickBot="1">
      <c r="A44" s="154" t="s">
        <v>168</v>
      </c>
      <c r="B44" s="154" t="s">
        <v>218</v>
      </c>
      <c r="C44" s="159">
        <v>400</v>
      </c>
      <c r="D44" s="159">
        <v>407</v>
      </c>
      <c r="E44" s="159"/>
      <c r="F44" s="159"/>
      <c r="G44" s="159"/>
      <c r="H44" s="159">
        <v>436</v>
      </c>
      <c r="I44" s="159">
        <v>384</v>
      </c>
      <c r="J44" s="159"/>
      <c r="K44" s="159"/>
      <c r="L44" s="159">
        <v>324</v>
      </c>
      <c r="M44" s="160">
        <v>315</v>
      </c>
      <c r="N44" s="161">
        <f t="shared" si="4"/>
        <v>2266</v>
      </c>
      <c r="O44" s="160">
        <v>2</v>
      </c>
      <c r="P44" s="160">
        <v>6</v>
      </c>
      <c r="Q44" s="160">
        <f>N44-2420</f>
        <v>-154</v>
      </c>
      <c r="R44" s="160">
        <v>0</v>
      </c>
      <c r="S44" s="186"/>
      <c r="T44" s="186"/>
      <c r="U44" s="186">
        <v>1</v>
      </c>
    </row>
    <row r="45" spans="3:21" ht="16.5" thickTop="1">
      <c r="C45" s="7">
        <f aca="true" t="shared" si="5" ref="C45:M45">SUM(C30:C44)</f>
        <v>4656</v>
      </c>
      <c r="D45" s="7">
        <f t="shared" si="5"/>
        <v>4704</v>
      </c>
      <c r="E45" s="7">
        <f t="shared" si="5"/>
        <v>5384</v>
      </c>
      <c r="F45" s="7">
        <f t="shared" si="5"/>
        <v>2913</v>
      </c>
      <c r="G45" s="7">
        <f t="shared" si="5"/>
        <v>5898</v>
      </c>
      <c r="H45" s="7">
        <f t="shared" si="5"/>
        <v>2087</v>
      </c>
      <c r="I45" s="7">
        <f t="shared" si="5"/>
        <v>6458</v>
      </c>
      <c r="J45" s="7">
        <f t="shared" si="5"/>
        <v>5422</v>
      </c>
      <c r="K45" s="7">
        <f t="shared" si="5"/>
        <v>847</v>
      </c>
      <c r="L45" s="7">
        <f t="shared" si="5"/>
        <v>324</v>
      </c>
      <c r="M45" s="7">
        <f t="shared" si="5"/>
        <v>315</v>
      </c>
      <c r="O45" s="1">
        <f>SUM(O30:O44)</f>
        <v>72</v>
      </c>
      <c r="P45" s="1">
        <f>SUM(P30:P44)</f>
        <v>48</v>
      </c>
      <c r="Q45" s="1">
        <f>SUM(Q30:Q44)</f>
        <v>769</v>
      </c>
      <c r="R45" s="1">
        <f>SUM(R30:R44)</f>
        <v>22</v>
      </c>
      <c r="S45" s="2">
        <f>SUM(S30:S44)+S18</f>
        <v>24</v>
      </c>
      <c r="T45" s="2">
        <f>SUM(T30:T44)+T18</f>
        <v>0</v>
      </c>
      <c r="U45" s="2">
        <f>SUM(U30:U44)+U18</f>
        <v>6</v>
      </c>
    </row>
    <row r="46" spans="2:13" ht="31.5">
      <c r="B46" s="83" t="s">
        <v>279</v>
      </c>
      <c r="C46" s="1">
        <f>COUNT(C30:C44)</f>
        <v>11</v>
      </c>
      <c r="D46" s="1">
        <f>COUNT(D30:D44)</f>
        <v>11</v>
      </c>
      <c r="E46" s="1">
        <f aca="true" t="shared" si="6" ref="E46:M46">COUNT(E30:E44)</f>
        <v>12</v>
      </c>
      <c r="F46" s="1">
        <f t="shared" si="6"/>
        <v>7</v>
      </c>
      <c r="G46" s="1">
        <f t="shared" si="6"/>
        <v>13</v>
      </c>
      <c r="H46" s="1">
        <f t="shared" si="6"/>
        <v>5</v>
      </c>
      <c r="I46" s="1">
        <f t="shared" si="6"/>
        <v>15</v>
      </c>
      <c r="J46" s="1">
        <f t="shared" si="6"/>
        <v>12</v>
      </c>
      <c r="K46" s="1">
        <f t="shared" si="6"/>
        <v>2</v>
      </c>
      <c r="L46" s="1">
        <f t="shared" si="6"/>
        <v>1</v>
      </c>
      <c r="M46" s="1">
        <f t="shared" si="6"/>
        <v>1</v>
      </c>
    </row>
    <row r="47" spans="2:21" ht="31.5">
      <c r="B47" s="12" t="s">
        <v>278</v>
      </c>
      <c r="C47" s="17">
        <f>C45/C46</f>
        <v>423.27272727272725</v>
      </c>
      <c r="D47" s="17">
        <f>D45/D46</f>
        <v>427.6363636363636</v>
      </c>
      <c r="E47" s="17">
        <f aca="true" t="shared" si="7" ref="E47:M47">E45/E46</f>
        <v>448.6666666666667</v>
      </c>
      <c r="F47" s="17">
        <f t="shared" si="7"/>
        <v>416.14285714285717</v>
      </c>
      <c r="G47" s="17">
        <f t="shared" si="7"/>
        <v>453.6923076923077</v>
      </c>
      <c r="H47" s="17">
        <f t="shared" si="7"/>
        <v>417.4</v>
      </c>
      <c r="I47" s="17">
        <f t="shared" si="7"/>
        <v>430.53333333333336</v>
      </c>
      <c r="J47" s="17">
        <f t="shared" si="7"/>
        <v>451.8333333333333</v>
      </c>
      <c r="K47" s="17">
        <f t="shared" si="7"/>
        <v>423.5</v>
      </c>
      <c r="L47" s="17">
        <f t="shared" si="7"/>
        <v>324</v>
      </c>
      <c r="M47" s="17">
        <f t="shared" si="7"/>
        <v>315</v>
      </c>
      <c r="N47" s="3" t="s">
        <v>30</v>
      </c>
      <c r="O47" s="265" t="s">
        <v>117</v>
      </c>
      <c r="P47" s="265"/>
      <c r="Q47" s="3" t="s">
        <v>31</v>
      </c>
      <c r="R47" s="11" t="s">
        <v>118</v>
      </c>
      <c r="T47" s="14" t="s">
        <v>128</v>
      </c>
      <c r="U47" s="105" t="s">
        <v>247</v>
      </c>
    </row>
    <row r="48" spans="14:21" ht="15.75">
      <c r="N48" s="6">
        <f>SUM(N30:N44)+N21</f>
        <v>78706</v>
      </c>
      <c r="O48" s="6">
        <f>SUM(O30:O44)+O21</f>
        <v>153</v>
      </c>
      <c r="P48" s="6">
        <f>SUM(P30:P44)+P21</f>
        <v>87</v>
      </c>
      <c r="Q48" s="6">
        <f>SUM(Q30:Q44)</f>
        <v>769</v>
      </c>
      <c r="R48" s="6">
        <f>SUM(R30:R44)+R21</f>
        <v>48</v>
      </c>
      <c r="T48" s="71">
        <f>O48-P48</f>
        <v>66</v>
      </c>
      <c r="U48" s="2">
        <f>SUM(S45:U45)</f>
        <v>30</v>
      </c>
    </row>
    <row r="50" spans="14:15" ht="15.75">
      <c r="N50" s="1" t="s">
        <v>130</v>
      </c>
      <c r="O50" s="19">
        <f>N48/U48</f>
        <v>2623.5333333333333</v>
      </c>
    </row>
  </sheetData>
  <sheetProtection/>
  <mergeCells count="11">
    <mergeCell ref="C1:M1"/>
    <mergeCell ref="O1:P1"/>
    <mergeCell ref="C22:D22"/>
    <mergeCell ref="O20:P20"/>
    <mergeCell ref="O47:P47"/>
    <mergeCell ref="E26:F26"/>
    <mergeCell ref="M26:N26"/>
    <mergeCell ref="C23:D23"/>
    <mergeCell ref="C24:D24"/>
    <mergeCell ref="I25:J25"/>
    <mergeCell ref="M25:N25"/>
  </mergeCells>
  <printOptions/>
  <pageMargins left="0.75" right="0.75" top="1" bottom="1" header="0.5" footer="0.5"/>
  <pageSetup horizontalDpi="600" verticalDpi="600" orientation="portrait" paperSize="9" r:id="rId1"/>
  <ignoredErrors>
    <ignoredError sqref="E18 E19:E20 K18:K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90" zoomScaleNormal="90" zoomScalePageLayoutView="0" workbookViewId="0" topLeftCell="B25">
      <selection activeCell="F44" sqref="F44"/>
    </sheetView>
  </sheetViews>
  <sheetFormatPr defaultColWidth="9.00390625" defaultRowHeight="12.75"/>
  <cols>
    <col min="1" max="1" width="11.75390625" style="1" bestFit="1" customWidth="1"/>
    <col min="2" max="2" width="14.75390625" style="1" bestFit="1" customWidth="1"/>
    <col min="3" max="8" width="9.125" style="1" customWidth="1"/>
    <col min="9" max="9" width="10.625" style="1" customWidth="1"/>
    <col min="10" max="10" width="10.25390625" style="1" customWidth="1"/>
    <col min="11" max="11" width="11.375" style="1" customWidth="1"/>
    <col min="12" max="12" width="9.1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9" max="19" width="11.125" style="0" customWidth="1"/>
    <col min="20" max="20" width="10.2539062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N1" s="265" t="s">
        <v>28</v>
      </c>
      <c r="O1" s="265"/>
      <c r="R1" s="2"/>
      <c r="S1" s="2"/>
      <c r="T1" s="2"/>
    </row>
    <row r="2" spans="2:20" ht="32.25" thickBot="1">
      <c r="B2" s="3" t="s">
        <v>25</v>
      </c>
      <c r="C2" s="9" t="s">
        <v>72</v>
      </c>
      <c r="D2" s="9" t="s">
        <v>73</v>
      </c>
      <c r="E2" s="9" t="s">
        <v>74</v>
      </c>
      <c r="F2" s="9" t="s">
        <v>75</v>
      </c>
      <c r="G2" s="9" t="s">
        <v>76</v>
      </c>
      <c r="H2" s="9" t="s">
        <v>102</v>
      </c>
      <c r="I2" s="9" t="s">
        <v>103</v>
      </c>
      <c r="J2" s="9" t="s">
        <v>225</v>
      </c>
      <c r="K2" s="9" t="s">
        <v>243</v>
      </c>
      <c r="L2" s="9"/>
      <c r="M2" s="3" t="s">
        <v>30</v>
      </c>
      <c r="N2" s="3" t="s">
        <v>23</v>
      </c>
      <c r="O2" s="3" t="s">
        <v>29</v>
      </c>
      <c r="P2" s="3" t="s">
        <v>31</v>
      </c>
      <c r="Q2" s="11" t="s">
        <v>116</v>
      </c>
      <c r="R2" s="2" t="s">
        <v>191</v>
      </c>
      <c r="S2" s="2" t="s">
        <v>192</v>
      </c>
      <c r="T2" s="2" t="s">
        <v>193</v>
      </c>
    </row>
    <row r="3" spans="1:20" s="34" customFormat="1" ht="15.75">
      <c r="A3" s="29" t="s">
        <v>0</v>
      </c>
      <c r="B3" s="29" t="s">
        <v>215</v>
      </c>
      <c r="C3" s="95">
        <v>470</v>
      </c>
      <c r="D3" s="95">
        <v>455</v>
      </c>
      <c r="E3" s="35"/>
      <c r="F3" s="35">
        <v>427</v>
      </c>
      <c r="G3" s="95">
        <v>440</v>
      </c>
      <c r="H3" s="35">
        <v>408</v>
      </c>
      <c r="I3" s="35"/>
      <c r="J3" s="95">
        <v>430</v>
      </c>
      <c r="K3" s="35"/>
      <c r="L3" s="31"/>
      <c r="M3" s="32">
        <f>SUM(C3:L3)</f>
        <v>2630</v>
      </c>
      <c r="N3" s="29">
        <v>6</v>
      </c>
      <c r="O3" s="29">
        <v>2</v>
      </c>
      <c r="P3" s="32">
        <f>M3-2508</f>
        <v>122</v>
      </c>
      <c r="Q3" s="29">
        <v>2</v>
      </c>
      <c r="R3" s="33">
        <v>1</v>
      </c>
      <c r="S3" s="33"/>
      <c r="T3" s="33"/>
    </row>
    <row r="4" spans="1:20" s="25" customFormat="1" ht="15.75">
      <c r="A4" s="20" t="s">
        <v>1</v>
      </c>
      <c r="B4" s="20" t="s">
        <v>16</v>
      </c>
      <c r="C4" s="101">
        <v>449</v>
      </c>
      <c r="D4" s="37">
        <v>392</v>
      </c>
      <c r="E4" s="37"/>
      <c r="F4" s="37">
        <v>448</v>
      </c>
      <c r="G4" s="37">
        <v>446</v>
      </c>
      <c r="H4" s="37"/>
      <c r="I4" s="37"/>
      <c r="J4" s="101">
        <v>466</v>
      </c>
      <c r="K4" s="101">
        <v>470</v>
      </c>
      <c r="L4" s="22"/>
      <c r="M4" s="23">
        <f aca="true" t="shared" si="0" ref="M4:M17">SUM(C4:L4)</f>
        <v>2671</v>
      </c>
      <c r="N4" s="20">
        <v>3</v>
      </c>
      <c r="O4" s="20">
        <v>5</v>
      </c>
      <c r="P4" s="23">
        <f>M4-2721</f>
        <v>-50</v>
      </c>
      <c r="Q4" s="20">
        <v>0</v>
      </c>
      <c r="R4" s="24"/>
      <c r="S4" s="24"/>
      <c r="T4" s="24">
        <v>1</v>
      </c>
    </row>
    <row r="5" spans="1:20" s="34" customFormat="1" ht="15.75">
      <c r="A5" s="29" t="s">
        <v>2</v>
      </c>
      <c r="B5" s="29" t="s">
        <v>18</v>
      </c>
      <c r="C5" s="95">
        <v>439</v>
      </c>
      <c r="D5" s="35"/>
      <c r="E5" s="95">
        <v>434</v>
      </c>
      <c r="F5" s="95">
        <v>441</v>
      </c>
      <c r="G5" s="35">
        <v>427</v>
      </c>
      <c r="H5" s="95">
        <v>465</v>
      </c>
      <c r="I5" s="35"/>
      <c r="J5" s="35">
        <v>406</v>
      </c>
      <c r="K5" s="35"/>
      <c r="L5" s="31"/>
      <c r="M5" s="32">
        <f t="shared" si="0"/>
        <v>2612</v>
      </c>
      <c r="N5" s="29">
        <v>6</v>
      </c>
      <c r="O5" s="29">
        <v>2</v>
      </c>
      <c r="P5" s="29">
        <v>28</v>
      </c>
      <c r="Q5" s="29">
        <v>2</v>
      </c>
      <c r="R5" s="33">
        <v>1</v>
      </c>
      <c r="S5" s="33"/>
      <c r="T5" s="33"/>
    </row>
    <row r="6" spans="1:20" s="25" customFormat="1" ht="15.75">
      <c r="A6" s="20" t="s">
        <v>3</v>
      </c>
      <c r="B6" s="20" t="s">
        <v>20</v>
      </c>
      <c r="C6" s="101">
        <v>446</v>
      </c>
      <c r="D6" s="37"/>
      <c r="E6" s="101">
        <v>451</v>
      </c>
      <c r="F6" s="37">
        <v>416</v>
      </c>
      <c r="G6" s="101">
        <v>451</v>
      </c>
      <c r="H6" s="101">
        <v>456</v>
      </c>
      <c r="I6" s="37"/>
      <c r="J6" s="37"/>
      <c r="K6" s="37">
        <v>441</v>
      </c>
      <c r="L6" s="22"/>
      <c r="M6" s="23">
        <f t="shared" si="0"/>
        <v>2661</v>
      </c>
      <c r="N6" s="20">
        <v>6</v>
      </c>
      <c r="O6" s="20">
        <v>2</v>
      </c>
      <c r="P6" s="23">
        <f>M6-2521</f>
        <v>140</v>
      </c>
      <c r="Q6" s="20">
        <v>2</v>
      </c>
      <c r="R6" s="24">
        <v>1</v>
      </c>
      <c r="S6" s="24"/>
      <c r="T6" s="24"/>
    </row>
    <row r="7" spans="1:20" s="34" customFormat="1" ht="15.75">
      <c r="A7" s="29" t="s">
        <v>4</v>
      </c>
      <c r="B7" s="29" t="s">
        <v>24</v>
      </c>
      <c r="C7" s="95">
        <v>436</v>
      </c>
      <c r="D7" s="35">
        <v>389</v>
      </c>
      <c r="E7" s="95">
        <v>452</v>
      </c>
      <c r="F7" s="35"/>
      <c r="G7" s="35">
        <v>397</v>
      </c>
      <c r="H7" s="35">
        <v>394</v>
      </c>
      <c r="I7" s="35"/>
      <c r="J7" s="95">
        <v>433</v>
      </c>
      <c r="K7" s="35"/>
      <c r="L7" s="31"/>
      <c r="M7" s="32">
        <f t="shared" si="0"/>
        <v>2501</v>
      </c>
      <c r="N7" s="29">
        <v>3</v>
      </c>
      <c r="O7" s="29">
        <v>5</v>
      </c>
      <c r="P7" s="32">
        <v>-41</v>
      </c>
      <c r="Q7" s="29">
        <v>0</v>
      </c>
      <c r="R7" s="33"/>
      <c r="S7" s="33"/>
      <c r="T7" s="33">
        <v>1</v>
      </c>
    </row>
    <row r="8" spans="1:20" s="25" customFormat="1" ht="15.75">
      <c r="A8" s="20" t="s">
        <v>5</v>
      </c>
      <c r="B8" s="20" t="s">
        <v>21</v>
      </c>
      <c r="C8" s="37">
        <v>396</v>
      </c>
      <c r="D8" s="37"/>
      <c r="E8" s="101">
        <v>436</v>
      </c>
      <c r="F8" s="37">
        <v>403</v>
      </c>
      <c r="G8" s="37">
        <v>404</v>
      </c>
      <c r="H8" s="101">
        <v>432</v>
      </c>
      <c r="I8" s="37"/>
      <c r="J8" s="37"/>
      <c r="K8" s="37">
        <v>421</v>
      </c>
      <c r="L8" s="22"/>
      <c r="M8" s="23">
        <f t="shared" si="0"/>
        <v>2492</v>
      </c>
      <c r="N8" s="20">
        <v>2</v>
      </c>
      <c r="O8" s="20">
        <v>6</v>
      </c>
      <c r="P8" s="20">
        <v>-98</v>
      </c>
      <c r="Q8" s="20">
        <v>0</v>
      </c>
      <c r="R8" s="24"/>
      <c r="S8" s="24"/>
      <c r="T8" s="24">
        <v>1</v>
      </c>
    </row>
    <row r="9" spans="1:20" s="34" customFormat="1" ht="15.75">
      <c r="A9" s="29" t="s">
        <v>6</v>
      </c>
      <c r="B9" s="29" t="s">
        <v>19</v>
      </c>
      <c r="C9" s="97">
        <v>446</v>
      </c>
      <c r="D9" s="48">
        <v>404</v>
      </c>
      <c r="E9" s="97">
        <v>455</v>
      </c>
      <c r="F9" s="103">
        <v>448</v>
      </c>
      <c r="G9" s="30"/>
      <c r="H9" s="30">
        <v>418</v>
      </c>
      <c r="I9" s="30"/>
      <c r="J9" s="103">
        <v>440</v>
      </c>
      <c r="K9" s="30"/>
      <c r="L9" s="31"/>
      <c r="M9" s="32">
        <f t="shared" si="0"/>
        <v>2611</v>
      </c>
      <c r="N9" s="29">
        <v>6</v>
      </c>
      <c r="O9" s="29">
        <v>2</v>
      </c>
      <c r="P9" s="32">
        <f>M9-2498</f>
        <v>113</v>
      </c>
      <c r="Q9" s="29">
        <v>2</v>
      </c>
      <c r="R9" s="33">
        <v>1</v>
      </c>
      <c r="S9" s="33"/>
      <c r="T9" s="33"/>
    </row>
    <row r="10" spans="1:20" s="25" customFormat="1" ht="15.75">
      <c r="A10" s="20" t="s">
        <v>7</v>
      </c>
      <c r="B10" s="20" t="s">
        <v>214</v>
      </c>
      <c r="C10" s="47">
        <v>421</v>
      </c>
      <c r="D10" s="47"/>
      <c r="E10" s="92">
        <v>446</v>
      </c>
      <c r="F10" s="101">
        <v>442</v>
      </c>
      <c r="G10" s="37">
        <v>428</v>
      </c>
      <c r="H10" s="101">
        <v>435</v>
      </c>
      <c r="I10" s="37"/>
      <c r="J10" s="37"/>
      <c r="K10" s="101">
        <v>457</v>
      </c>
      <c r="L10" s="22"/>
      <c r="M10" s="23">
        <f>SUM(C10:L10)</f>
        <v>2629</v>
      </c>
      <c r="N10" s="20">
        <v>6</v>
      </c>
      <c r="O10" s="20">
        <v>2</v>
      </c>
      <c r="P10" s="23">
        <f>M10-2462</f>
        <v>167</v>
      </c>
      <c r="Q10" s="20">
        <v>2</v>
      </c>
      <c r="R10" s="24">
        <v>1</v>
      </c>
      <c r="S10" s="24"/>
      <c r="T10" s="24"/>
    </row>
    <row r="11" spans="1:20" s="34" customFormat="1" ht="15.75">
      <c r="A11" s="29" t="s">
        <v>8</v>
      </c>
      <c r="B11" s="29" t="s">
        <v>204</v>
      </c>
      <c r="C11" s="93">
        <v>435</v>
      </c>
      <c r="D11" s="93">
        <v>449</v>
      </c>
      <c r="E11" s="93">
        <v>473</v>
      </c>
      <c r="F11" s="35"/>
      <c r="G11" s="95">
        <v>436</v>
      </c>
      <c r="H11" s="35">
        <v>372</v>
      </c>
      <c r="I11" s="35"/>
      <c r="J11" s="95">
        <v>446</v>
      </c>
      <c r="K11" s="35"/>
      <c r="L11" s="31"/>
      <c r="M11" s="32">
        <f t="shared" si="0"/>
        <v>2611</v>
      </c>
      <c r="N11" s="29">
        <v>7</v>
      </c>
      <c r="O11" s="29">
        <v>1</v>
      </c>
      <c r="P11" s="29">
        <v>188</v>
      </c>
      <c r="Q11" s="29">
        <v>2</v>
      </c>
      <c r="R11" s="33">
        <v>1</v>
      </c>
      <c r="S11" s="33"/>
      <c r="T11" s="33"/>
    </row>
    <row r="12" spans="1:20" s="25" customFormat="1" ht="15.75">
      <c r="A12" s="20" t="s">
        <v>9</v>
      </c>
      <c r="B12" s="20" t="s">
        <v>217</v>
      </c>
      <c r="C12" s="37"/>
      <c r="D12" s="37">
        <v>424</v>
      </c>
      <c r="E12" s="101">
        <v>435</v>
      </c>
      <c r="F12" s="37"/>
      <c r="G12" s="101">
        <v>432</v>
      </c>
      <c r="H12" s="101">
        <v>433</v>
      </c>
      <c r="I12" s="37"/>
      <c r="J12" s="37">
        <v>416</v>
      </c>
      <c r="K12" s="140">
        <v>450</v>
      </c>
      <c r="L12" s="22"/>
      <c r="M12" s="23">
        <f>SUM(C12:J12)</f>
        <v>2140</v>
      </c>
      <c r="N12" s="20">
        <v>3</v>
      </c>
      <c r="O12" s="20">
        <v>5</v>
      </c>
      <c r="P12" s="20">
        <f>2140-2589</f>
        <v>-449</v>
      </c>
      <c r="Q12" s="20">
        <v>0</v>
      </c>
      <c r="R12" s="24"/>
      <c r="S12" s="24"/>
      <c r="T12" s="24">
        <v>1</v>
      </c>
    </row>
    <row r="13" spans="1:20" s="34" customFormat="1" ht="15.75">
      <c r="A13" s="29" t="s">
        <v>10</v>
      </c>
      <c r="B13" s="29" t="s">
        <v>26</v>
      </c>
      <c r="C13" s="95">
        <v>443</v>
      </c>
      <c r="D13" s="35"/>
      <c r="E13" s="35">
        <v>433</v>
      </c>
      <c r="F13" s="35">
        <v>394</v>
      </c>
      <c r="G13" s="35">
        <v>417</v>
      </c>
      <c r="H13" s="35">
        <v>394</v>
      </c>
      <c r="I13" s="35"/>
      <c r="J13" s="35">
        <v>409</v>
      </c>
      <c r="K13" s="35"/>
      <c r="L13" s="31"/>
      <c r="M13" s="32">
        <f t="shared" si="0"/>
        <v>2490</v>
      </c>
      <c r="N13" s="29">
        <v>1</v>
      </c>
      <c r="O13" s="29">
        <v>7</v>
      </c>
      <c r="P13" s="29">
        <v>-229</v>
      </c>
      <c r="Q13" s="29">
        <v>0</v>
      </c>
      <c r="R13" s="33"/>
      <c r="S13" s="33"/>
      <c r="T13" s="33">
        <v>1</v>
      </c>
    </row>
    <row r="14" spans="1:20" s="34" customFormat="1" ht="15.75">
      <c r="A14" s="29" t="s">
        <v>11</v>
      </c>
      <c r="B14" s="29" t="s">
        <v>218</v>
      </c>
      <c r="C14" s="95">
        <v>426</v>
      </c>
      <c r="D14" s="95">
        <v>378</v>
      </c>
      <c r="E14" s="95">
        <v>414</v>
      </c>
      <c r="F14" s="35">
        <v>378</v>
      </c>
      <c r="G14" s="35">
        <v>375</v>
      </c>
      <c r="H14" s="35">
        <v>367</v>
      </c>
      <c r="I14" s="35"/>
      <c r="J14" s="35"/>
      <c r="K14" s="35"/>
      <c r="L14" s="31"/>
      <c r="M14" s="32">
        <f t="shared" si="0"/>
        <v>2338</v>
      </c>
      <c r="N14" s="29">
        <v>5</v>
      </c>
      <c r="O14" s="29">
        <v>3</v>
      </c>
      <c r="P14" s="32">
        <v>43</v>
      </c>
      <c r="Q14" s="29">
        <v>2</v>
      </c>
      <c r="R14" s="33">
        <v>1</v>
      </c>
      <c r="S14" s="33"/>
      <c r="T14" s="33"/>
    </row>
    <row r="15" spans="1:20" s="25" customFormat="1" ht="15.75">
      <c r="A15" s="20" t="s">
        <v>12</v>
      </c>
      <c r="B15" s="20" t="s">
        <v>17</v>
      </c>
      <c r="C15" s="101">
        <v>477</v>
      </c>
      <c r="D15" s="37"/>
      <c r="E15" s="37"/>
      <c r="F15" s="37">
        <v>441</v>
      </c>
      <c r="G15" s="101">
        <v>469</v>
      </c>
      <c r="H15" s="37">
        <v>423</v>
      </c>
      <c r="I15" s="37"/>
      <c r="J15" s="37">
        <v>441</v>
      </c>
      <c r="K15" s="101">
        <v>457</v>
      </c>
      <c r="L15" s="22"/>
      <c r="M15" s="23">
        <f t="shared" si="0"/>
        <v>2708</v>
      </c>
      <c r="N15" s="20">
        <v>5</v>
      </c>
      <c r="O15" s="20">
        <v>3</v>
      </c>
      <c r="P15" s="23">
        <f>M15-2684</f>
        <v>24</v>
      </c>
      <c r="Q15" s="20">
        <v>2</v>
      </c>
      <c r="R15" s="24">
        <v>1</v>
      </c>
      <c r="S15" s="24"/>
      <c r="T15" s="24"/>
    </row>
    <row r="16" spans="1:20" s="34" customFormat="1" ht="15.75">
      <c r="A16" s="29" t="s">
        <v>13</v>
      </c>
      <c r="B16" s="35" t="s">
        <v>15</v>
      </c>
      <c r="C16" s="95">
        <v>435</v>
      </c>
      <c r="D16" s="35">
        <v>417</v>
      </c>
      <c r="E16" s="35"/>
      <c r="F16" s="35">
        <v>408</v>
      </c>
      <c r="G16" s="35">
        <v>410</v>
      </c>
      <c r="H16" s="35">
        <v>426</v>
      </c>
      <c r="I16" s="35"/>
      <c r="J16" s="35">
        <v>416</v>
      </c>
      <c r="K16" s="35"/>
      <c r="L16" s="31"/>
      <c r="M16" s="32">
        <f t="shared" si="0"/>
        <v>2512</v>
      </c>
      <c r="N16" s="29">
        <v>1</v>
      </c>
      <c r="O16" s="29">
        <v>7</v>
      </c>
      <c r="P16" s="29">
        <v>-138</v>
      </c>
      <c r="Q16" s="29">
        <v>0</v>
      </c>
      <c r="R16" s="33"/>
      <c r="S16" s="33"/>
      <c r="T16" s="33">
        <v>1</v>
      </c>
    </row>
    <row r="17" spans="1:20" s="25" customFormat="1" ht="16.5" thickBot="1">
      <c r="A17" s="20" t="s">
        <v>14</v>
      </c>
      <c r="B17" s="37" t="s">
        <v>22</v>
      </c>
      <c r="C17" s="26"/>
      <c r="D17" s="171">
        <v>436</v>
      </c>
      <c r="E17" s="26"/>
      <c r="F17" s="171">
        <v>439</v>
      </c>
      <c r="G17" s="171">
        <v>454</v>
      </c>
      <c r="H17" s="26">
        <v>417</v>
      </c>
      <c r="I17" s="26"/>
      <c r="J17" s="171">
        <v>448</v>
      </c>
      <c r="K17" s="171">
        <v>455</v>
      </c>
      <c r="L17" s="84"/>
      <c r="M17" s="27">
        <f t="shared" si="0"/>
        <v>2649</v>
      </c>
      <c r="N17" s="28">
        <v>7</v>
      </c>
      <c r="O17" s="28">
        <v>1</v>
      </c>
      <c r="P17" s="27">
        <f>M17-2474</f>
        <v>175</v>
      </c>
      <c r="Q17" s="28">
        <v>2</v>
      </c>
      <c r="R17" s="24">
        <v>1</v>
      </c>
      <c r="S17" s="24"/>
      <c r="T17" s="24"/>
    </row>
    <row r="18" spans="3:20" ht="16.5" thickTop="1">
      <c r="C18" s="6">
        <f aca="true" t="shared" si="1" ref="C18:L18">SUM(C3:C17)</f>
        <v>5719</v>
      </c>
      <c r="D18" s="6">
        <f t="shared" si="1"/>
        <v>3744</v>
      </c>
      <c r="E18" s="6">
        <f t="shared" si="1"/>
        <v>4429</v>
      </c>
      <c r="F18" s="6">
        <f t="shared" si="1"/>
        <v>5085</v>
      </c>
      <c r="G18" s="6">
        <f t="shared" si="1"/>
        <v>5986</v>
      </c>
      <c r="H18" s="6">
        <f t="shared" si="1"/>
        <v>5840</v>
      </c>
      <c r="I18" s="6">
        <f t="shared" si="1"/>
        <v>0</v>
      </c>
      <c r="J18" s="6">
        <f t="shared" si="1"/>
        <v>4751</v>
      </c>
      <c r="K18" s="6">
        <f>K3+K4+K5+K6+K7+K8+K9+K10+K11+K13+K14+K15+K16+K17</f>
        <v>2701</v>
      </c>
      <c r="L18" s="6">
        <f t="shared" si="1"/>
        <v>0</v>
      </c>
      <c r="R18" s="114">
        <f>SUM(R3:R17)</f>
        <v>9</v>
      </c>
      <c r="S18" s="114">
        <f>SUM(S3:S17)</f>
        <v>0</v>
      </c>
      <c r="T18" s="114">
        <f>SUM(T3:T17)</f>
        <v>6</v>
      </c>
    </row>
    <row r="19" spans="2:12" ht="15.75">
      <c r="B19" s="1" t="s">
        <v>249</v>
      </c>
      <c r="C19" s="6">
        <f>COUNT(C3:C17)</f>
        <v>13</v>
      </c>
      <c r="D19" s="6">
        <f aca="true" t="shared" si="2" ref="D19:J19">COUNT(D3:D17)</f>
        <v>9</v>
      </c>
      <c r="E19" s="6">
        <f t="shared" si="2"/>
        <v>10</v>
      </c>
      <c r="F19" s="6">
        <f t="shared" si="2"/>
        <v>12</v>
      </c>
      <c r="G19" s="6">
        <f t="shared" si="2"/>
        <v>14</v>
      </c>
      <c r="H19" s="6">
        <f t="shared" si="2"/>
        <v>14</v>
      </c>
      <c r="I19" s="6">
        <f t="shared" si="2"/>
        <v>0</v>
      </c>
      <c r="J19" s="6">
        <f t="shared" si="2"/>
        <v>11</v>
      </c>
      <c r="K19" s="6">
        <f>COUNT(K3:K9)+COUNT(K11:K17)</f>
        <v>6</v>
      </c>
      <c r="L19" s="6"/>
    </row>
    <row r="20" spans="2:20" ht="33.75" customHeight="1">
      <c r="B20" s="12" t="s">
        <v>129</v>
      </c>
      <c r="C20" s="17">
        <f>AVERAGE(C3:C17)</f>
        <v>439.9230769230769</v>
      </c>
      <c r="D20" s="17">
        <f aca="true" t="shared" si="3" ref="D20:J20">AVERAGE(D3:D17)</f>
        <v>416</v>
      </c>
      <c r="E20" s="17">
        <f t="shared" si="3"/>
        <v>442.9</v>
      </c>
      <c r="F20" s="17">
        <f t="shared" si="3"/>
        <v>423.75</v>
      </c>
      <c r="G20" s="17">
        <f t="shared" si="3"/>
        <v>427.57142857142856</v>
      </c>
      <c r="H20" s="17">
        <f t="shared" si="3"/>
        <v>417.14285714285717</v>
      </c>
      <c r="I20" s="17"/>
      <c r="J20" s="17">
        <f t="shared" si="3"/>
        <v>431.90909090909093</v>
      </c>
      <c r="K20" s="17">
        <f>K18/K19</f>
        <v>450.1666666666667</v>
      </c>
      <c r="L20" s="17"/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S20" s="105" t="s">
        <v>128</v>
      </c>
      <c r="T20" s="105" t="s">
        <v>247</v>
      </c>
    </row>
    <row r="21" spans="13:20" ht="15.75">
      <c r="M21" s="6">
        <f>SUM(M3:M17)</f>
        <v>38255</v>
      </c>
      <c r="N21" s="1">
        <f>SUM(N3:N17)</f>
        <v>67</v>
      </c>
      <c r="O21" s="1">
        <f>SUM(O3:O17)</f>
        <v>53</v>
      </c>
      <c r="P21" s="1">
        <f>SUM(P3:P17)</f>
        <v>-5</v>
      </c>
      <c r="Q21" s="1">
        <f>SUM(Q3:Q17)</f>
        <v>18</v>
      </c>
      <c r="S21" s="2">
        <f>N21-O21</f>
        <v>14</v>
      </c>
      <c r="T21" s="2">
        <f>SUM(R18:T18)</f>
        <v>15</v>
      </c>
    </row>
    <row r="22" spans="3:4" ht="15.75">
      <c r="C22" s="270" t="s">
        <v>40</v>
      </c>
      <c r="D22" s="270"/>
    </row>
    <row r="23" spans="3:14" ht="15.75">
      <c r="C23" s="268" t="s">
        <v>134</v>
      </c>
      <c r="D23" s="268"/>
      <c r="M23" s="1" t="s">
        <v>130</v>
      </c>
      <c r="N23" s="19">
        <f>M21/T21</f>
        <v>2550.3333333333335</v>
      </c>
    </row>
    <row r="24" spans="3:14" ht="15.75">
      <c r="C24" s="269" t="s">
        <v>135</v>
      </c>
      <c r="D24" s="269"/>
      <c r="M24" s="1" t="s">
        <v>260</v>
      </c>
      <c r="N24" s="6">
        <f>M3+M5+M7+M9+M11+M13+M14+M16+M32+M34+M36+M38+M40+M42+M44</f>
        <v>38087</v>
      </c>
    </row>
    <row r="25" spans="9:13" ht="15.75">
      <c r="I25" s="262" t="s">
        <v>154</v>
      </c>
      <c r="J25" s="262"/>
      <c r="K25" s="12" t="s">
        <v>155</v>
      </c>
      <c r="L25" s="262" t="s">
        <v>128</v>
      </c>
      <c r="M25" s="262"/>
    </row>
    <row r="26" spans="9:13" ht="15.75">
      <c r="I26" s="1">
        <f>N21+N45</f>
        <v>143</v>
      </c>
      <c r="J26" s="1">
        <f>O21+O45</f>
        <v>97</v>
      </c>
      <c r="K26" s="1">
        <f>Q21+Q45</f>
        <v>41</v>
      </c>
      <c r="L26" s="267">
        <f>I26-J26</f>
        <v>46</v>
      </c>
      <c r="M26" s="267"/>
    </row>
    <row r="27" spans="1:6" ht="15.75">
      <c r="A27" s="73" t="s">
        <v>144</v>
      </c>
      <c r="B27" s="77"/>
      <c r="C27" s="78" t="s">
        <v>149</v>
      </c>
      <c r="D27" s="74" t="s">
        <v>142</v>
      </c>
      <c r="E27" s="266" t="s">
        <v>143</v>
      </c>
      <c r="F27" s="266"/>
    </row>
    <row r="29" spans="2:20" ht="32.25" thickBot="1">
      <c r="B29" s="3" t="s">
        <v>25</v>
      </c>
      <c r="C29" s="9" t="s">
        <v>72</v>
      </c>
      <c r="D29" s="9" t="s">
        <v>73</v>
      </c>
      <c r="E29" s="9" t="s">
        <v>74</v>
      </c>
      <c r="F29" s="9" t="s">
        <v>75</v>
      </c>
      <c r="G29" s="9" t="s">
        <v>76</v>
      </c>
      <c r="H29" s="9" t="s">
        <v>102</v>
      </c>
      <c r="I29" s="9" t="s">
        <v>103</v>
      </c>
      <c r="J29" s="9" t="s">
        <v>225</v>
      </c>
      <c r="K29" s="9" t="s">
        <v>243</v>
      </c>
      <c r="L29" s="9" t="s">
        <v>287</v>
      </c>
      <c r="M29" s="3" t="s">
        <v>30</v>
      </c>
      <c r="N29" s="3" t="s">
        <v>23</v>
      </c>
      <c r="O29" s="3" t="s">
        <v>29</v>
      </c>
      <c r="P29" s="3" t="s">
        <v>31</v>
      </c>
      <c r="Q29" s="11" t="s">
        <v>116</v>
      </c>
      <c r="R29" s="2" t="s">
        <v>191</v>
      </c>
      <c r="S29" s="2" t="s">
        <v>192</v>
      </c>
      <c r="T29" s="2" t="s">
        <v>193</v>
      </c>
    </row>
    <row r="30" spans="1:18" s="148" customFormat="1" ht="15.75">
      <c r="A30" s="144" t="s">
        <v>221</v>
      </c>
      <c r="B30" s="144" t="s">
        <v>218</v>
      </c>
      <c r="C30" s="166">
        <v>408</v>
      </c>
      <c r="D30" s="182">
        <v>442</v>
      </c>
      <c r="E30" s="182">
        <v>430</v>
      </c>
      <c r="F30" s="182">
        <v>413</v>
      </c>
      <c r="G30" s="165"/>
      <c r="H30" s="182">
        <v>413</v>
      </c>
      <c r="I30" s="165"/>
      <c r="J30" s="182">
        <v>440</v>
      </c>
      <c r="K30" s="165"/>
      <c r="L30" s="166"/>
      <c r="M30" s="146">
        <f>SUM(C30:L30)</f>
        <v>2546</v>
      </c>
      <c r="N30" s="144">
        <v>7</v>
      </c>
      <c r="O30" s="144">
        <v>1</v>
      </c>
      <c r="P30" s="144">
        <f>M30-2316</f>
        <v>230</v>
      </c>
      <c r="Q30" s="144">
        <v>2</v>
      </c>
      <c r="R30" s="148">
        <v>1</v>
      </c>
    </row>
    <row r="31" spans="1:20" s="148" customFormat="1" ht="15.75">
      <c r="A31" s="144" t="s">
        <v>222</v>
      </c>
      <c r="B31" s="144" t="s">
        <v>26</v>
      </c>
      <c r="C31" s="166"/>
      <c r="D31" s="165">
        <v>372</v>
      </c>
      <c r="E31" s="182">
        <v>466</v>
      </c>
      <c r="F31" s="165">
        <v>346</v>
      </c>
      <c r="G31" s="182">
        <v>448</v>
      </c>
      <c r="H31" s="182">
        <v>481</v>
      </c>
      <c r="I31" s="165"/>
      <c r="J31" s="182">
        <v>423</v>
      </c>
      <c r="K31" s="165"/>
      <c r="L31" s="166"/>
      <c r="M31" s="146">
        <f>SUM(B31:L31)</f>
        <v>2536</v>
      </c>
      <c r="N31" s="144">
        <v>3</v>
      </c>
      <c r="O31" s="144">
        <v>5</v>
      </c>
      <c r="P31" s="144">
        <v>-9</v>
      </c>
      <c r="Q31" s="144">
        <v>0</v>
      </c>
      <c r="T31" s="148">
        <v>1</v>
      </c>
    </row>
    <row r="32" spans="1:18" s="158" customFormat="1" ht="15.75">
      <c r="A32" s="154" t="s">
        <v>156</v>
      </c>
      <c r="B32" s="154" t="s">
        <v>217</v>
      </c>
      <c r="C32" s="181">
        <v>436</v>
      </c>
      <c r="D32" s="163"/>
      <c r="E32" s="181">
        <v>463</v>
      </c>
      <c r="F32" s="163">
        <v>426</v>
      </c>
      <c r="G32" s="163">
        <v>404</v>
      </c>
      <c r="H32" s="181">
        <v>437</v>
      </c>
      <c r="I32" s="163"/>
      <c r="J32" s="181">
        <v>437</v>
      </c>
      <c r="K32" s="163"/>
      <c r="L32" s="169"/>
      <c r="M32" s="156">
        <f>SUM(C32:L32)</f>
        <v>2603</v>
      </c>
      <c r="N32" s="154">
        <v>6</v>
      </c>
      <c r="O32" s="154">
        <v>2</v>
      </c>
      <c r="P32" s="154">
        <f>M32-2583</f>
        <v>20</v>
      </c>
      <c r="Q32" s="154">
        <v>2</v>
      </c>
      <c r="R32" s="158">
        <v>1</v>
      </c>
    </row>
    <row r="33" spans="1:18" s="148" customFormat="1" ht="15.75">
      <c r="A33" s="144" t="s">
        <v>157</v>
      </c>
      <c r="B33" s="144" t="s">
        <v>204</v>
      </c>
      <c r="C33" s="182">
        <v>435</v>
      </c>
      <c r="D33" s="165">
        <v>393</v>
      </c>
      <c r="E33" s="182">
        <v>417</v>
      </c>
      <c r="F33" s="165">
        <v>407</v>
      </c>
      <c r="G33" s="165"/>
      <c r="H33" s="182">
        <v>426</v>
      </c>
      <c r="I33" s="165"/>
      <c r="J33" s="182">
        <v>427</v>
      </c>
      <c r="K33" s="165"/>
      <c r="L33" s="166"/>
      <c r="M33" s="146">
        <f>SUM(C33:L33)</f>
        <v>2505</v>
      </c>
      <c r="N33" s="144">
        <v>6</v>
      </c>
      <c r="O33" s="144">
        <v>2</v>
      </c>
      <c r="P33" s="144">
        <v>99</v>
      </c>
      <c r="Q33" s="144">
        <v>2</v>
      </c>
      <c r="R33" s="148">
        <v>1</v>
      </c>
    </row>
    <row r="34" spans="1:18" s="158" customFormat="1" ht="15.75">
      <c r="A34" s="154" t="s">
        <v>158</v>
      </c>
      <c r="B34" s="154" t="s">
        <v>214</v>
      </c>
      <c r="C34" s="181">
        <v>438</v>
      </c>
      <c r="D34" s="163">
        <v>396</v>
      </c>
      <c r="E34" s="181">
        <v>438</v>
      </c>
      <c r="F34" s="181">
        <v>425</v>
      </c>
      <c r="G34" s="163"/>
      <c r="H34" s="163">
        <v>418</v>
      </c>
      <c r="I34" s="163"/>
      <c r="J34" s="181">
        <v>428</v>
      </c>
      <c r="K34" s="163"/>
      <c r="L34" s="169"/>
      <c r="M34" s="156">
        <f>SUM(C34:L34)</f>
        <v>2543</v>
      </c>
      <c r="N34" s="154">
        <v>6</v>
      </c>
      <c r="O34" s="154">
        <v>2</v>
      </c>
      <c r="P34" s="154">
        <v>161</v>
      </c>
      <c r="Q34" s="154">
        <v>2</v>
      </c>
      <c r="R34" s="158">
        <v>1</v>
      </c>
    </row>
    <row r="35" spans="1:18" s="148" customFormat="1" ht="15.75">
      <c r="A35" s="144" t="s">
        <v>159</v>
      </c>
      <c r="B35" s="149" t="s">
        <v>19</v>
      </c>
      <c r="C35" s="182">
        <v>462</v>
      </c>
      <c r="D35" s="182">
        <v>424</v>
      </c>
      <c r="E35" s="165"/>
      <c r="F35" s="165"/>
      <c r="G35" s="182">
        <v>447</v>
      </c>
      <c r="H35" s="182">
        <v>421</v>
      </c>
      <c r="I35" s="165"/>
      <c r="J35" s="165">
        <v>402</v>
      </c>
      <c r="K35" s="165"/>
      <c r="L35" s="166">
        <v>377</v>
      </c>
      <c r="M35" s="146">
        <f aca="true" t="shared" si="4" ref="M35:M44">SUM(C35:L35)</f>
        <v>2533</v>
      </c>
      <c r="N35" s="144">
        <v>6</v>
      </c>
      <c r="O35" s="144">
        <v>2</v>
      </c>
      <c r="P35" s="144">
        <v>1</v>
      </c>
      <c r="Q35" s="144">
        <v>2</v>
      </c>
      <c r="R35" s="148">
        <v>1</v>
      </c>
    </row>
    <row r="36" spans="1:18" s="158" customFormat="1" ht="15.75">
      <c r="A36" s="154" t="s">
        <v>160</v>
      </c>
      <c r="B36" s="154" t="s">
        <v>21</v>
      </c>
      <c r="C36" s="169">
        <v>411</v>
      </c>
      <c r="D36" s="181">
        <v>461</v>
      </c>
      <c r="E36" s="163"/>
      <c r="F36" s="163"/>
      <c r="G36" s="181">
        <v>431</v>
      </c>
      <c r="H36" s="181">
        <v>415</v>
      </c>
      <c r="I36" s="163">
        <v>381</v>
      </c>
      <c r="J36" s="163">
        <v>387</v>
      </c>
      <c r="K36" s="163"/>
      <c r="L36" s="169"/>
      <c r="M36" s="156">
        <f t="shared" si="4"/>
        <v>2486</v>
      </c>
      <c r="N36" s="154">
        <v>5</v>
      </c>
      <c r="O36" s="154">
        <v>3</v>
      </c>
      <c r="P36" s="154">
        <f>M36-2444</f>
        <v>42</v>
      </c>
      <c r="Q36" s="154">
        <v>2</v>
      </c>
      <c r="R36" s="158">
        <v>1</v>
      </c>
    </row>
    <row r="37" spans="1:19" s="148" customFormat="1" ht="15.75">
      <c r="A37" s="144" t="s">
        <v>161</v>
      </c>
      <c r="B37" s="144" t="s">
        <v>24</v>
      </c>
      <c r="C37" s="182">
        <v>440</v>
      </c>
      <c r="D37" s="165">
        <v>363</v>
      </c>
      <c r="E37" s="182">
        <v>433</v>
      </c>
      <c r="F37" s="165">
        <v>400</v>
      </c>
      <c r="G37" s="182">
        <v>459</v>
      </c>
      <c r="H37" s="182">
        <v>434</v>
      </c>
      <c r="I37" s="165"/>
      <c r="J37" s="165"/>
      <c r="K37" s="165"/>
      <c r="L37" s="166"/>
      <c r="M37" s="146">
        <f t="shared" si="4"/>
        <v>2529</v>
      </c>
      <c r="N37" s="144">
        <v>4</v>
      </c>
      <c r="O37" s="144">
        <v>4</v>
      </c>
      <c r="P37" s="144">
        <v>-155</v>
      </c>
      <c r="Q37" s="144">
        <v>1</v>
      </c>
      <c r="S37" s="148">
        <v>1</v>
      </c>
    </row>
    <row r="38" spans="1:18" s="158" customFormat="1" ht="15.75">
      <c r="A38" s="154" t="s">
        <v>162</v>
      </c>
      <c r="B38" s="154" t="s">
        <v>20</v>
      </c>
      <c r="C38" s="181">
        <v>461</v>
      </c>
      <c r="D38" s="181">
        <v>426</v>
      </c>
      <c r="E38" s="181">
        <v>422</v>
      </c>
      <c r="F38" s="163">
        <v>368</v>
      </c>
      <c r="G38" s="181">
        <v>423</v>
      </c>
      <c r="H38" s="163"/>
      <c r="I38" s="163"/>
      <c r="J38" s="163">
        <v>398</v>
      </c>
      <c r="K38" s="163"/>
      <c r="L38" s="169"/>
      <c r="M38" s="156">
        <f t="shared" si="4"/>
        <v>2498</v>
      </c>
      <c r="N38" s="154">
        <v>6</v>
      </c>
      <c r="O38" s="154">
        <v>2</v>
      </c>
      <c r="P38" s="154">
        <v>67</v>
      </c>
      <c r="Q38" s="154">
        <v>2</v>
      </c>
      <c r="R38" s="158">
        <v>1</v>
      </c>
    </row>
    <row r="39" spans="1:18" s="148" customFormat="1" ht="15.75">
      <c r="A39" s="144" t="s">
        <v>163</v>
      </c>
      <c r="B39" s="144" t="s">
        <v>18</v>
      </c>
      <c r="C39" s="166">
        <v>420</v>
      </c>
      <c r="D39" s="165"/>
      <c r="E39" s="165">
        <v>412</v>
      </c>
      <c r="F39" s="165">
        <v>401</v>
      </c>
      <c r="G39" s="182">
        <v>473</v>
      </c>
      <c r="H39" s="182">
        <v>423</v>
      </c>
      <c r="I39" s="165"/>
      <c r="J39" s="182">
        <v>430</v>
      </c>
      <c r="K39" s="165"/>
      <c r="L39" s="166"/>
      <c r="M39" s="146">
        <f t="shared" si="4"/>
        <v>2559</v>
      </c>
      <c r="N39" s="144">
        <v>5</v>
      </c>
      <c r="O39" s="144">
        <v>3</v>
      </c>
      <c r="P39" s="144">
        <f>M39-2516</f>
        <v>43</v>
      </c>
      <c r="Q39" s="144">
        <v>2</v>
      </c>
      <c r="R39" s="148">
        <v>1</v>
      </c>
    </row>
    <row r="40" spans="1:20" s="158" customFormat="1" ht="15.75">
      <c r="A40" s="154" t="s">
        <v>164</v>
      </c>
      <c r="B40" s="154" t="s">
        <v>16</v>
      </c>
      <c r="C40" s="224">
        <v>446</v>
      </c>
      <c r="D40" s="163">
        <v>383</v>
      </c>
      <c r="E40" s="163">
        <v>415</v>
      </c>
      <c r="F40" s="163"/>
      <c r="G40" s="163">
        <v>415</v>
      </c>
      <c r="H40" s="163">
        <v>387</v>
      </c>
      <c r="I40" s="163"/>
      <c r="J40" s="224">
        <v>447</v>
      </c>
      <c r="K40" s="163"/>
      <c r="L40" s="169"/>
      <c r="M40" s="156">
        <f t="shared" si="4"/>
        <v>2493</v>
      </c>
      <c r="N40" s="154">
        <v>2</v>
      </c>
      <c r="O40" s="154">
        <v>6</v>
      </c>
      <c r="P40" s="154">
        <v>-132</v>
      </c>
      <c r="Q40" s="154">
        <v>0</v>
      </c>
      <c r="T40" s="158">
        <v>1</v>
      </c>
    </row>
    <row r="41" spans="1:18" s="148" customFormat="1" ht="15.75">
      <c r="A41" s="144" t="s">
        <v>165</v>
      </c>
      <c r="B41" s="144" t="s">
        <v>223</v>
      </c>
      <c r="C41" s="225">
        <v>429</v>
      </c>
      <c r="D41" s="225">
        <v>482</v>
      </c>
      <c r="E41" s="165">
        <v>424</v>
      </c>
      <c r="F41" s="165">
        <v>385</v>
      </c>
      <c r="G41" s="225">
        <v>436</v>
      </c>
      <c r="H41" s="165"/>
      <c r="I41" s="165"/>
      <c r="J41" s="225">
        <v>496</v>
      </c>
      <c r="K41" s="165"/>
      <c r="L41" s="166"/>
      <c r="M41" s="146">
        <f t="shared" si="4"/>
        <v>2652</v>
      </c>
      <c r="N41" s="144">
        <v>6</v>
      </c>
      <c r="O41" s="144">
        <v>2</v>
      </c>
      <c r="P41" s="144">
        <f>M41-2570</f>
        <v>82</v>
      </c>
      <c r="Q41" s="144">
        <v>2</v>
      </c>
      <c r="R41" s="148">
        <v>1</v>
      </c>
    </row>
    <row r="42" spans="1:18" s="158" customFormat="1" ht="15.75">
      <c r="A42" s="154" t="s">
        <v>166</v>
      </c>
      <c r="B42" s="154" t="s">
        <v>22</v>
      </c>
      <c r="C42" s="224">
        <v>465</v>
      </c>
      <c r="D42" s="224">
        <v>424</v>
      </c>
      <c r="E42" s="224">
        <v>422</v>
      </c>
      <c r="F42" s="163">
        <v>413</v>
      </c>
      <c r="G42" s="224">
        <v>425</v>
      </c>
      <c r="H42" s="163"/>
      <c r="I42" s="163"/>
      <c r="J42" s="163"/>
      <c r="K42" s="224">
        <v>448</v>
      </c>
      <c r="L42" s="169"/>
      <c r="M42" s="156">
        <f t="shared" si="4"/>
        <v>2597</v>
      </c>
      <c r="N42" s="154">
        <v>7</v>
      </c>
      <c r="O42" s="154">
        <v>1</v>
      </c>
      <c r="P42" s="154">
        <v>242</v>
      </c>
      <c r="Q42" s="154">
        <v>2</v>
      </c>
      <c r="R42" s="158">
        <v>1</v>
      </c>
    </row>
    <row r="43" spans="1:18" s="148" customFormat="1" ht="15.75">
      <c r="A43" s="144" t="s">
        <v>167</v>
      </c>
      <c r="B43" s="144" t="s">
        <v>15</v>
      </c>
      <c r="C43" s="225">
        <v>481</v>
      </c>
      <c r="D43" s="165">
        <v>420</v>
      </c>
      <c r="E43" s="165"/>
      <c r="F43" s="225">
        <v>435</v>
      </c>
      <c r="G43" s="225">
        <v>442</v>
      </c>
      <c r="H43" s="165"/>
      <c r="I43" s="165"/>
      <c r="J43" s="165">
        <v>401</v>
      </c>
      <c r="K43" s="165">
        <v>420</v>
      </c>
      <c r="L43" s="166"/>
      <c r="M43" s="146">
        <f t="shared" si="4"/>
        <v>2599</v>
      </c>
      <c r="N43" s="144">
        <v>5</v>
      </c>
      <c r="O43" s="144">
        <v>3</v>
      </c>
      <c r="P43" s="144">
        <v>47</v>
      </c>
      <c r="Q43" s="144">
        <v>2</v>
      </c>
      <c r="R43" s="148">
        <v>1</v>
      </c>
    </row>
    <row r="44" spans="1:20" s="158" customFormat="1" ht="16.5" thickBot="1">
      <c r="A44" s="154" t="s">
        <v>168</v>
      </c>
      <c r="B44" s="154" t="s">
        <v>17</v>
      </c>
      <c r="C44" s="242">
        <v>450</v>
      </c>
      <c r="D44" s="164">
        <v>402</v>
      </c>
      <c r="E44" s="164"/>
      <c r="F44" s="164">
        <v>406</v>
      </c>
      <c r="G44" s="164">
        <v>429</v>
      </c>
      <c r="H44" s="164"/>
      <c r="I44" s="164"/>
      <c r="J44" s="164">
        <v>430</v>
      </c>
      <c r="K44" s="242">
        <v>445</v>
      </c>
      <c r="L44" s="183"/>
      <c r="M44" s="161">
        <f t="shared" si="4"/>
        <v>2562</v>
      </c>
      <c r="N44" s="160">
        <v>2</v>
      </c>
      <c r="O44" s="160">
        <v>6</v>
      </c>
      <c r="P44" s="160">
        <f>M44-2673</f>
        <v>-111</v>
      </c>
      <c r="Q44" s="160">
        <v>0</v>
      </c>
      <c r="R44" s="179"/>
      <c r="S44" s="179"/>
      <c r="T44" s="179">
        <v>1</v>
      </c>
    </row>
    <row r="45" spans="3:20" ht="16.5" thickTop="1">
      <c r="C45" s="7">
        <f aca="true" t="shared" si="5" ref="C45:L45">SUM(C30:C44)</f>
        <v>6182</v>
      </c>
      <c r="D45" s="7">
        <f t="shared" si="5"/>
        <v>5388</v>
      </c>
      <c r="E45" s="7">
        <f t="shared" si="5"/>
        <v>4742</v>
      </c>
      <c r="F45" s="7">
        <f t="shared" si="5"/>
        <v>4825</v>
      </c>
      <c r="G45" s="7">
        <f t="shared" si="5"/>
        <v>5232</v>
      </c>
      <c r="H45" s="7">
        <f t="shared" si="5"/>
        <v>4255</v>
      </c>
      <c r="I45" s="7">
        <f t="shared" si="5"/>
        <v>381</v>
      </c>
      <c r="J45" s="7">
        <f t="shared" si="5"/>
        <v>5546</v>
      </c>
      <c r="K45" s="7">
        <f t="shared" si="5"/>
        <v>1313</v>
      </c>
      <c r="L45" s="7">
        <f t="shared" si="5"/>
        <v>377</v>
      </c>
      <c r="N45" s="1">
        <f>SUM(N30:N44)</f>
        <v>76</v>
      </c>
      <c r="O45" s="1">
        <f>SUM(O30:O44)</f>
        <v>44</v>
      </c>
      <c r="P45" s="1">
        <f>SUM(P30:P44)</f>
        <v>627</v>
      </c>
      <c r="Q45" s="1">
        <f>SUM(Q30:Q44)</f>
        <v>23</v>
      </c>
      <c r="R45" s="1">
        <f>SUM(R30:R44)+R18</f>
        <v>20</v>
      </c>
      <c r="S45" s="1">
        <f>SUM(S30:S44)+S18</f>
        <v>1</v>
      </c>
      <c r="T45" s="1">
        <f>SUM(T30:T44)+T18</f>
        <v>9</v>
      </c>
    </row>
    <row r="46" spans="2:12" ht="31.5">
      <c r="B46" s="83" t="s">
        <v>279</v>
      </c>
      <c r="C46" s="1">
        <f>COUNT(C30:C44)</f>
        <v>14</v>
      </c>
      <c r="D46" s="1">
        <f aca="true" t="shared" si="6" ref="D46:L46">COUNT(D30:D44)</f>
        <v>13</v>
      </c>
      <c r="E46" s="1">
        <f t="shared" si="6"/>
        <v>11</v>
      </c>
      <c r="F46" s="1">
        <f t="shared" si="6"/>
        <v>12</v>
      </c>
      <c r="G46" s="1">
        <f t="shared" si="6"/>
        <v>12</v>
      </c>
      <c r="H46" s="1">
        <f t="shared" si="6"/>
        <v>10</v>
      </c>
      <c r="I46" s="1">
        <f t="shared" si="6"/>
        <v>1</v>
      </c>
      <c r="J46" s="1">
        <f t="shared" si="6"/>
        <v>13</v>
      </c>
      <c r="K46" s="1">
        <f t="shared" si="6"/>
        <v>3</v>
      </c>
      <c r="L46" s="1">
        <f t="shared" si="6"/>
        <v>1</v>
      </c>
    </row>
    <row r="47" spans="2:20" ht="31.5">
      <c r="B47" s="12" t="s">
        <v>275</v>
      </c>
      <c r="C47" s="17">
        <f aca="true" t="shared" si="7" ref="C47:I47">C45/C46</f>
        <v>441.57142857142856</v>
      </c>
      <c r="D47" s="17">
        <f t="shared" si="7"/>
        <v>414.46153846153845</v>
      </c>
      <c r="E47" s="17">
        <f t="shared" si="7"/>
        <v>431.09090909090907</v>
      </c>
      <c r="F47" s="17">
        <f t="shared" si="7"/>
        <v>402.0833333333333</v>
      </c>
      <c r="G47" s="17">
        <f t="shared" si="7"/>
        <v>436</v>
      </c>
      <c r="H47" s="17">
        <f t="shared" si="7"/>
        <v>425.5</v>
      </c>
      <c r="I47" s="17">
        <f t="shared" si="7"/>
        <v>381</v>
      </c>
      <c r="J47" s="17">
        <f>J45/J46</f>
        <v>426.61538461538464</v>
      </c>
      <c r="K47" s="17"/>
      <c r="L47" s="17">
        <f>L45/L46</f>
        <v>377</v>
      </c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2:20" ht="15.75">
      <c r="L48" s="17"/>
      <c r="M48" s="6">
        <f>SUM(M30:M44)+M21</f>
        <v>76496</v>
      </c>
      <c r="N48" s="6">
        <f>SUM(N30:N44)+N21</f>
        <v>143</v>
      </c>
      <c r="O48" s="6">
        <f>SUM(O30:O44)+O21</f>
        <v>97</v>
      </c>
      <c r="P48" s="6">
        <f>SUM(P30:P44)+P21</f>
        <v>622</v>
      </c>
      <c r="Q48" s="6">
        <f>SUM(Q30:Q44)+Q21</f>
        <v>41</v>
      </c>
      <c r="S48" s="2">
        <f>N48-O48</f>
        <v>46</v>
      </c>
      <c r="T48" s="2">
        <f>SUM(R45:T45)</f>
        <v>30</v>
      </c>
    </row>
    <row r="50" spans="13:14" ht="15.75">
      <c r="M50" s="1" t="s">
        <v>130</v>
      </c>
      <c r="N50" s="19">
        <f>M48/T48</f>
        <v>2549.866666666667</v>
      </c>
    </row>
  </sheetData>
  <sheetProtection/>
  <mergeCells count="11">
    <mergeCell ref="C23:D23"/>
    <mergeCell ref="C1:L1"/>
    <mergeCell ref="N1:O1"/>
    <mergeCell ref="C22:D22"/>
    <mergeCell ref="N20:O20"/>
    <mergeCell ref="C24:D24"/>
    <mergeCell ref="N47:O47"/>
    <mergeCell ref="E27:F27"/>
    <mergeCell ref="L26:M26"/>
    <mergeCell ref="I25:J25"/>
    <mergeCell ref="L25:M25"/>
  </mergeCells>
  <printOptions/>
  <pageMargins left="0.75" right="0.75" top="1" bottom="1" header="0.5" footer="0.5"/>
  <pageSetup horizontalDpi="600" verticalDpi="600" orientation="portrait" paperSize="9" r:id="rId1"/>
  <ignoredErrors>
    <ignoredError sqref="K19" formulaRange="1"/>
    <ignoredError sqref="K18 M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50"/>
  <sheetViews>
    <sheetView zoomScale="90" zoomScaleNormal="90" zoomScalePageLayoutView="0" workbookViewId="0" topLeftCell="A28">
      <selection activeCell="I41" sqref="I41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3" width="16.00390625" style="1" bestFit="1" customWidth="1"/>
    <col min="4" max="9" width="9.125" style="1" customWidth="1"/>
    <col min="10" max="10" width="11.875" style="1" customWidth="1"/>
    <col min="11" max="11" width="9.00390625" style="1" customWidth="1"/>
    <col min="12" max="12" width="11.75390625" style="1" customWidth="1"/>
    <col min="13" max="13" width="9.125" style="1" customWidth="1"/>
    <col min="14" max="14" width="15.87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4.00390625" style="0" customWidth="1"/>
    <col min="21" max="21" width="11.00390625" style="0" customWidth="1"/>
  </cols>
  <sheetData>
    <row r="1" spans="3:21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O1" s="265" t="s">
        <v>28</v>
      </c>
      <c r="P1" s="265"/>
      <c r="S1" s="2"/>
      <c r="T1" s="2"/>
      <c r="U1" s="2"/>
    </row>
    <row r="2" spans="2:21" ht="36.75" customHeight="1" thickBot="1">
      <c r="B2" s="3" t="s">
        <v>25</v>
      </c>
      <c r="C2" s="9" t="s">
        <v>152</v>
      </c>
      <c r="D2" s="69" t="s">
        <v>201</v>
      </c>
      <c r="E2" s="9" t="s">
        <v>47</v>
      </c>
      <c r="F2" s="9" t="s">
        <v>48</v>
      </c>
      <c r="G2" s="9" t="s">
        <v>49</v>
      </c>
      <c r="H2" s="9" t="s">
        <v>50</v>
      </c>
      <c r="I2" s="9" t="s">
        <v>132</v>
      </c>
      <c r="J2" s="9" t="s">
        <v>120</v>
      </c>
      <c r="K2" s="9" t="s">
        <v>121</v>
      </c>
      <c r="L2" s="9" t="s">
        <v>123</v>
      </c>
      <c r="N2" s="5" t="s">
        <v>30</v>
      </c>
      <c r="O2" s="3" t="s">
        <v>15</v>
      </c>
      <c r="P2" s="3" t="s">
        <v>29</v>
      </c>
      <c r="Q2" s="3" t="s">
        <v>31</v>
      </c>
      <c r="R2" s="11" t="s">
        <v>116</v>
      </c>
      <c r="S2" s="2" t="s">
        <v>191</v>
      </c>
      <c r="T2" s="2" t="s">
        <v>192</v>
      </c>
      <c r="U2" s="2" t="s">
        <v>193</v>
      </c>
    </row>
    <row r="3" spans="1:21" s="25" customFormat="1" ht="15.75">
      <c r="A3" s="20" t="s">
        <v>0</v>
      </c>
      <c r="B3" s="20" t="s">
        <v>17</v>
      </c>
      <c r="C3" s="47"/>
      <c r="D3" s="92">
        <v>431</v>
      </c>
      <c r="E3" s="47">
        <v>422</v>
      </c>
      <c r="F3" s="47"/>
      <c r="G3" s="47"/>
      <c r="H3" s="92">
        <v>453</v>
      </c>
      <c r="I3" s="92">
        <v>438</v>
      </c>
      <c r="J3" s="47"/>
      <c r="K3" s="47">
        <v>410</v>
      </c>
      <c r="L3" s="47">
        <v>425</v>
      </c>
      <c r="M3" s="47"/>
      <c r="N3" s="40">
        <f>SUM(C3:M3)</f>
        <v>2579</v>
      </c>
      <c r="O3" s="20">
        <v>3</v>
      </c>
      <c r="P3" s="20">
        <v>5</v>
      </c>
      <c r="Q3" s="23">
        <v>-15</v>
      </c>
      <c r="R3" s="20">
        <v>0</v>
      </c>
      <c r="S3" s="24"/>
      <c r="T3" s="24"/>
      <c r="U3" s="24">
        <v>1</v>
      </c>
    </row>
    <row r="4" spans="1:21" s="34" customFormat="1" ht="15.75">
      <c r="A4" s="29" t="s">
        <v>1</v>
      </c>
      <c r="B4" s="30" t="s">
        <v>26</v>
      </c>
      <c r="C4" s="52"/>
      <c r="D4" s="97">
        <v>457</v>
      </c>
      <c r="E4" s="52"/>
      <c r="F4" s="52">
        <v>411</v>
      </c>
      <c r="G4" s="48">
        <v>380</v>
      </c>
      <c r="H4" s="52">
        <v>436</v>
      </c>
      <c r="I4" s="97">
        <v>443</v>
      </c>
      <c r="J4" s="52"/>
      <c r="K4" s="97">
        <v>448</v>
      </c>
      <c r="L4" s="52"/>
      <c r="M4" s="44"/>
      <c r="N4" s="45">
        <f aca="true" t="shared" si="0" ref="N4:N17">SUM(C4:M4)</f>
        <v>2575</v>
      </c>
      <c r="O4" s="29">
        <v>3</v>
      </c>
      <c r="P4" s="29">
        <v>5</v>
      </c>
      <c r="Q4" s="32">
        <f>N4-2666</f>
        <v>-91</v>
      </c>
      <c r="R4" s="29">
        <v>0</v>
      </c>
      <c r="S4" s="33"/>
      <c r="T4" s="33"/>
      <c r="U4" s="33">
        <v>1</v>
      </c>
    </row>
    <row r="5" spans="1:21" s="34" customFormat="1" ht="15.75">
      <c r="A5" s="29" t="s">
        <v>2</v>
      </c>
      <c r="B5" s="29" t="s">
        <v>22</v>
      </c>
      <c r="C5" s="48"/>
      <c r="D5" s="93">
        <v>430</v>
      </c>
      <c r="E5" s="93">
        <v>442</v>
      </c>
      <c r="F5" s="93">
        <v>454</v>
      </c>
      <c r="G5" s="48"/>
      <c r="H5" s="48"/>
      <c r="I5" s="93">
        <v>451</v>
      </c>
      <c r="J5" s="48">
        <v>414</v>
      </c>
      <c r="K5" s="93">
        <v>461</v>
      </c>
      <c r="L5" s="48"/>
      <c r="M5" s="48"/>
      <c r="N5" s="45">
        <f t="shared" si="0"/>
        <v>2652</v>
      </c>
      <c r="O5" s="29">
        <v>7</v>
      </c>
      <c r="P5" s="29">
        <v>1</v>
      </c>
      <c r="Q5" s="32">
        <f>N5-2418</f>
        <v>234</v>
      </c>
      <c r="R5" s="29">
        <v>2</v>
      </c>
      <c r="S5" s="33">
        <v>1</v>
      </c>
      <c r="T5" s="33"/>
      <c r="U5" s="33"/>
    </row>
    <row r="6" spans="1:21" s="25" customFormat="1" ht="15.75">
      <c r="A6" s="20" t="s">
        <v>3</v>
      </c>
      <c r="B6" s="20" t="s">
        <v>215</v>
      </c>
      <c r="C6" s="47"/>
      <c r="D6" s="47">
        <v>404</v>
      </c>
      <c r="E6" s="92">
        <v>437</v>
      </c>
      <c r="F6" s="92">
        <v>443</v>
      </c>
      <c r="G6" s="47"/>
      <c r="H6" s="47"/>
      <c r="I6" s="47">
        <v>426</v>
      </c>
      <c r="J6" s="47">
        <v>377</v>
      </c>
      <c r="K6" s="47">
        <v>424</v>
      </c>
      <c r="L6" s="47"/>
      <c r="M6" s="47"/>
      <c r="N6" s="40">
        <f t="shared" si="0"/>
        <v>2511</v>
      </c>
      <c r="O6" s="20">
        <v>2</v>
      </c>
      <c r="P6" s="20">
        <v>6</v>
      </c>
      <c r="Q6" s="23">
        <v>-58</v>
      </c>
      <c r="R6" s="20">
        <v>0</v>
      </c>
      <c r="S6" s="24"/>
      <c r="T6" s="24"/>
      <c r="U6" s="24">
        <v>1</v>
      </c>
    </row>
    <row r="7" spans="1:21" s="34" customFormat="1" ht="15.75">
      <c r="A7" s="29" t="s">
        <v>4</v>
      </c>
      <c r="B7" s="29" t="s">
        <v>16</v>
      </c>
      <c r="C7" s="48"/>
      <c r="D7" s="48"/>
      <c r="E7" s="93">
        <v>422</v>
      </c>
      <c r="F7" s="93">
        <v>448</v>
      </c>
      <c r="G7" s="48">
        <v>408</v>
      </c>
      <c r="H7" s="93">
        <v>427</v>
      </c>
      <c r="I7" s="93">
        <v>446</v>
      </c>
      <c r="J7" s="48"/>
      <c r="K7" s="48">
        <v>400</v>
      </c>
      <c r="L7" s="48"/>
      <c r="M7" s="48"/>
      <c r="N7" s="45">
        <f t="shared" si="0"/>
        <v>2551</v>
      </c>
      <c r="O7" s="29">
        <v>6</v>
      </c>
      <c r="P7" s="29">
        <v>2</v>
      </c>
      <c r="Q7" s="32">
        <v>14</v>
      </c>
      <c r="R7" s="29">
        <v>2</v>
      </c>
      <c r="S7" s="33">
        <v>1</v>
      </c>
      <c r="T7" s="33"/>
      <c r="U7" s="33"/>
    </row>
    <row r="8" spans="1:21" s="25" customFormat="1" ht="15.75">
      <c r="A8" s="20" t="s">
        <v>5</v>
      </c>
      <c r="B8" s="20" t="s">
        <v>18</v>
      </c>
      <c r="C8" s="47"/>
      <c r="D8" s="47"/>
      <c r="E8" s="92">
        <v>446</v>
      </c>
      <c r="F8" s="92">
        <v>431</v>
      </c>
      <c r="G8" s="47">
        <v>391</v>
      </c>
      <c r="H8" s="92">
        <v>458</v>
      </c>
      <c r="I8" s="92">
        <v>446</v>
      </c>
      <c r="J8" s="47"/>
      <c r="K8" s="47">
        <v>414</v>
      </c>
      <c r="L8" s="47"/>
      <c r="M8" s="47"/>
      <c r="N8" s="40">
        <f t="shared" si="0"/>
        <v>2586</v>
      </c>
      <c r="O8" s="20">
        <v>6</v>
      </c>
      <c r="P8" s="20">
        <v>2</v>
      </c>
      <c r="Q8" s="20">
        <v>39</v>
      </c>
      <c r="R8" s="20">
        <v>2</v>
      </c>
      <c r="S8" s="24">
        <v>1</v>
      </c>
      <c r="T8" s="24"/>
      <c r="U8" s="24"/>
    </row>
    <row r="9" spans="1:21" s="34" customFormat="1" ht="15.75">
      <c r="A9" s="29" t="s">
        <v>6</v>
      </c>
      <c r="B9" s="29" t="s">
        <v>20</v>
      </c>
      <c r="C9" s="48"/>
      <c r="D9" s="48"/>
      <c r="E9" s="48">
        <v>419</v>
      </c>
      <c r="F9" s="93">
        <v>458</v>
      </c>
      <c r="G9" s="93">
        <v>435</v>
      </c>
      <c r="H9" s="93">
        <v>445</v>
      </c>
      <c r="I9" s="93">
        <v>463</v>
      </c>
      <c r="J9" s="48">
        <v>222</v>
      </c>
      <c r="K9" s="48">
        <v>165</v>
      </c>
      <c r="L9" s="48"/>
      <c r="M9" s="48"/>
      <c r="N9" s="45">
        <f t="shared" si="0"/>
        <v>2607</v>
      </c>
      <c r="O9" s="29">
        <v>6</v>
      </c>
      <c r="P9" s="29">
        <v>2</v>
      </c>
      <c r="Q9" s="32">
        <f>N9-2574</f>
        <v>33</v>
      </c>
      <c r="R9" s="29">
        <v>2</v>
      </c>
      <c r="S9" s="33">
        <v>1</v>
      </c>
      <c r="T9" s="33"/>
      <c r="U9" s="33"/>
    </row>
    <row r="10" spans="1:21" s="25" customFormat="1" ht="15.75">
      <c r="A10" s="20" t="s">
        <v>7</v>
      </c>
      <c r="B10" s="20" t="s">
        <v>24</v>
      </c>
      <c r="C10" s="47"/>
      <c r="D10" s="47"/>
      <c r="E10" s="47">
        <v>412</v>
      </c>
      <c r="F10" s="92">
        <v>444</v>
      </c>
      <c r="G10" s="92">
        <v>472</v>
      </c>
      <c r="H10" s="47">
        <v>413</v>
      </c>
      <c r="I10" s="47">
        <v>428</v>
      </c>
      <c r="J10" s="47"/>
      <c r="K10" s="92">
        <v>454</v>
      </c>
      <c r="L10" s="47"/>
      <c r="M10" s="47"/>
      <c r="N10" s="40">
        <f t="shared" si="0"/>
        <v>2623</v>
      </c>
      <c r="O10" s="20">
        <v>5</v>
      </c>
      <c r="P10" s="20">
        <v>3</v>
      </c>
      <c r="Q10" s="23">
        <v>34</v>
      </c>
      <c r="R10" s="20">
        <v>2</v>
      </c>
      <c r="S10" s="24">
        <v>1</v>
      </c>
      <c r="T10" s="24"/>
      <c r="U10" s="24"/>
    </row>
    <row r="11" spans="1:21" s="34" customFormat="1" ht="15.75">
      <c r="A11" s="29" t="s">
        <v>8</v>
      </c>
      <c r="B11" s="29" t="s">
        <v>21</v>
      </c>
      <c r="C11" s="48"/>
      <c r="D11" s="48"/>
      <c r="E11" s="48">
        <v>426</v>
      </c>
      <c r="F11" s="93">
        <v>447</v>
      </c>
      <c r="G11" s="93">
        <v>427</v>
      </c>
      <c r="H11" s="93">
        <v>438</v>
      </c>
      <c r="I11" s="93">
        <v>439</v>
      </c>
      <c r="J11" s="48"/>
      <c r="K11" s="48">
        <v>407</v>
      </c>
      <c r="L11" s="48"/>
      <c r="M11" s="48"/>
      <c r="N11" s="45">
        <f t="shared" si="0"/>
        <v>2584</v>
      </c>
      <c r="O11" s="29">
        <v>6</v>
      </c>
      <c r="P11" s="29">
        <v>2</v>
      </c>
      <c r="Q11" s="32">
        <f>N11-2521</f>
        <v>63</v>
      </c>
      <c r="R11" s="29">
        <v>2</v>
      </c>
      <c r="S11" s="33">
        <v>1</v>
      </c>
      <c r="T11" s="33"/>
      <c r="U11" s="33"/>
    </row>
    <row r="12" spans="1:21" s="25" customFormat="1" ht="15.75">
      <c r="A12" s="20" t="s">
        <v>9</v>
      </c>
      <c r="B12" s="20" t="s">
        <v>19</v>
      </c>
      <c r="C12" s="47"/>
      <c r="D12" s="47"/>
      <c r="E12" s="47"/>
      <c r="F12" s="92">
        <v>428</v>
      </c>
      <c r="G12" s="47">
        <v>422</v>
      </c>
      <c r="H12" s="92">
        <v>432</v>
      </c>
      <c r="I12" s="47"/>
      <c r="J12" s="47">
        <v>410</v>
      </c>
      <c r="K12" s="47">
        <v>394</v>
      </c>
      <c r="L12" s="92">
        <v>449</v>
      </c>
      <c r="M12" s="47"/>
      <c r="N12" s="40">
        <f t="shared" si="0"/>
        <v>2535</v>
      </c>
      <c r="O12" s="20">
        <v>5</v>
      </c>
      <c r="P12" s="20">
        <v>3</v>
      </c>
      <c r="Q12" s="20">
        <v>76</v>
      </c>
      <c r="R12" s="20">
        <v>2</v>
      </c>
      <c r="S12" s="24">
        <v>1</v>
      </c>
      <c r="T12" s="24"/>
      <c r="U12" s="24"/>
    </row>
    <row r="13" spans="1:21" s="34" customFormat="1" ht="15.75">
      <c r="A13" s="29" t="s">
        <v>10</v>
      </c>
      <c r="B13" s="29" t="s">
        <v>214</v>
      </c>
      <c r="C13" s="82"/>
      <c r="D13" s="48"/>
      <c r="E13" s="48">
        <v>410</v>
      </c>
      <c r="F13" s="93">
        <v>427</v>
      </c>
      <c r="G13" s="93">
        <v>442</v>
      </c>
      <c r="H13" s="93">
        <v>465</v>
      </c>
      <c r="I13" s="93">
        <v>432</v>
      </c>
      <c r="J13" s="48"/>
      <c r="K13" s="48"/>
      <c r="L13" s="48">
        <v>402</v>
      </c>
      <c r="M13" s="48"/>
      <c r="N13" s="45">
        <f t="shared" si="0"/>
        <v>2578</v>
      </c>
      <c r="O13" s="29">
        <v>6</v>
      </c>
      <c r="P13" s="29">
        <v>2</v>
      </c>
      <c r="Q13" s="32">
        <f>N13-2434</f>
        <v>144</v>
      </c>
      <c r="R13" s="29">
        <v>2</v>
      </c>
      <c r="S13" s="33">
        <v>1</v>
      </c>
      <c r="T13" s="33"/>
      <c r="U13" s="33"/>
    </row>
    <row r="14" spans="1:21" s="25" customFormat="1" ht="15.75">
      <c r="A14" s="20" t="s">
        <v>11</v>
      </c>
      <c r="B14" s="20" t="s">
        <v>204</v>
      </c>
      <c r="C14" s="61"/>
      <c r="D14" s="92">
        <v>450</v>
      </c>
      <c r="E14" s="92">
        <v>480</v>
      </c>
      <c r="F14" s="47">
        <v>421</v>
      </c>
      <c r="G14" s="47"/>
      <c r="H14" s="47"/>
      <c r="I14" s="92">
        <v>431</v>
      </c>
      <c r="J14" s="47"/>
      <c r="K14" s="47">
        <v>397</v>
      </c>
      <c r="L14" s="92">
        <v>436</v>
      </c>
      <c r="M14" s="47"/>
      <c r="N14" s="40">
        <f>SUM(C14:M14)</f>
        <v>2615</v>
      </c>
      <c r="O14" s="20">
        <v>6</v>
      </c>
      <c r="P14" s="20">
        <v>2</v>
      </c>
      <c r="Q14" s="23">
        <v>68</v>
      </c>
      <c r="R14" s="20">
        <v>2</v>
      </c>
      <c r="S14" s="24">
        <v>1</v>
      </c>
      <c r="T14" s="24"/>
      <c r="U14" s="24"/>
    </row>
    <row r="15" spans="1:21" s="34" customFormat="1" ht="15.75">
      <c r="A15" s="29" t="s">
        <v>12</v>
      </c>
      <c r="B15" s="29" t="s">
        <v>217</v>
      </c>
      <c r="C15" s="48"/>
      <c r="D15" s="93">
        <v>443</v>
      </c>
      <c r="E15" s="48">
        <v>431</v>
      </c>
      <c r="F15" s="93">
        <v>469</v>
      </c>
      <c r="G15" s="93">
        <v>445</v>
      </c>
      <c r="H15" s="48"/>
      <c r="I15" s="48">
        <v>410</v>
      </c>
      <c r="J15" s="48"/>
      <c r="K15" s="48"/>
      <c r="L15" s="48">
        <v>413</v>
      </c>
      <c r="M15" s="48"/>
      <c r="N15" s="45">
        <f t="shared" si="0"/>
        <v>2611</v>
      </c>
      <c r="O15" s="29">
        <v>3</v>
      </c>
      <c r="P15" s="29">
        <v>5</v>
      </c>
      <c r="Q15" s="29">
        <v>-28</v>
      </c>
      <c r="R15" s="29">
        <v>0</v>
      </c>
      <c r="S15" s="33"/>
      <c r="T15" s="33"/>
      <c r="U15" s="33">
        <v>1</v>
      </c>
    </row>
    <row r="16" spans="1:21" s="25" customFormat="1" ht="15.75">
      <c r="A16" s="20" t="s">
        <v>13</v>
      </c>
      <c r="B16" s="20" t="s">
        <v>23</v>
      </c>
      <c r="C16" s="47"/>
      <c r="D16" s="47">
        <v>406</v>
      </c>
      <c r="E16" s="92">
        <v>451</v>
      </c>
      <c r="F16" s="92">
        <v>444</v>
      </c>
      <c r="G16" s="92">
        <v>433</v>
      </c>
      <c r="H16" s="92">
        <v>458</v>
      </c>
      <c r="I16" s="92">
        <v>458</v>
      </c>
      <c r="J16" s="47"/>
      <c r="K16" s="47"/>
      <c r="L16" s="47"/>
      <c r="M16" s="47"/>
      <c r="N16" s="40">
        <f t="shared" si="0"/>
        <v>2650</v>
      </c>
      <c r="O16" s="20">
        <v>7</v>
      </c>
      <c r="P16" s="20">
        <v>1</v>
      </c>
      <c r="Q16" s="20">
        <v>138</v>
      </c>
      <c r="R16" s="20">
        <v>2</v>
      </c>
      <c r="S16" s="24">
        <v>1</v>
      </c>
      <c r="T16" s="24"/>
      <c r="U16" s="24"/>
    </row>
    <row r="17" spans="1:21" s="34" customFormat="1" ht="16.5" thickBot="1">
      <c r="A17" s="29" t="s">
        <v>14</v>
      </c>
      <c r="B17" s="154" t="s">
        <v>218</v>
      </c>
      <c r="C17" s="50"/>
      <c r="D17" s="170">
        <v>413</v>
      </c>
      <c r="E17" s="170">
        <v>429</v>
      </c>
      <c r="F17" s="50"/>
      <c r="G17" s="50">
        <v>373</v>
      </c>
      <c r="H17" s="50"/>
      <c r="I17" s="50">
        <v>368</v>
      </c>
      <c r="J17" s="50"/>
      <c r="K17" s="50">
        <v>375</v>
      </c>
      <c r="L17" s="50">
        <v>388</v>
      </c>
      <c r="M17" s="50"/>
      <c r="N17" s="42">
        <f t="shared" si="0"/>
        <v>2346</v>
      </c>
      <c r="O17" s="43">
        <v>2</v>
      </c>
      <c r="P17" s="43">
        <v>6</v>
      </c>
      <c r="Q17" s="46">
        <f>N17-2450</f>
        <v>-104</v>
      </c>
      <c r="R17" s="43">
        <v>0</v>
      </c>
      <c r="S17" s="113"/>
      <c r="T17" s="113"/>
      <c r="U17" s="113">
        <v>1</v>
      </c>
    </row>
    <row r="18" spans="3:21" ht="16.5" thickTop="1">
      <c r="C18" s="6">
        <f>SUM(C3:C17)</f>
        <v>0</v>
      </c>
      <c r="D18" s="6">
        <f aca="true" t="shared" si="1" ref="D18:L18">SUM(D3:D17)</f>
        <v>3434</v>
      </c>
      <c r="E18" s="6">
        <f t="shared" si="1"/>
        <v>5627</v>
      </c>
      <c r="F18" s="6">
        <f t="shared" si="1"/>
        <v>5725</v>
      </c>
      <c r="G18" s="6">
        <f t="shared" si="1"/>
        <v>4628</v>
      </c>
      <c r="H18" s="6">
        <f t="shared" si="1"/>
        <v>4425</v>
      </c>
      <c r="I18" s="6">
        <f t="shared" si="1"/>
        <v>6079</v>
      </c>
      <c r="J18" s="6">
        <f>SUM(J3:J6)+J12</f>
        <v>1201</v>
      </c>
      <c r="K18" s="6">
        <f>SUM(K3:K8)+SUM(K10:K14)</f>
        <v>4209</v>
      </c>
      <c r="L18" s="6">
        <f t="shared" si="1"/>
        <v>2513</v>
      </c>
      <c r="M18" s="6">
        <f>SUM(M3:M17)</f>
        <v>0</v>
      </c>
      <c r="S18" s="2">
        <f>SUM(S3:S17)</f>
        <v>10</v>
      </c>
      <c r="T18" s="2">
        <f>SUM(T3:T17)</f>
        <v>0</v>
      </c>
      <c r="U18" s="2">
        <f>SUM(U3:U17)</f>
        <v>5</v>
      </c>
    </row>
    <row r="19" spans="2:13" ht="15.75">
      <c r="B19" s="1" t="s">
        <v>190</v>
      </c>
      <c r="C19" s="6">
        <f>COUNT(C3:C17)</f>
        <v>0</v>
      </c>
      <c r="D19" s="6">
        <f aca="true" t="shared" si="2" ref="D19:L19">COUNT(D3:D17)</f>
        <v>8</v>
      </c>
      <c r="E19" s="6">
        <f t="shared" si="2"/>
        <v>13</v>
      </c>
      <c r="F19" s="6">
        <f t="shared" si="2"/>
        <v>13</v>
      </c>
      <c r="G19" s="6">
        <f t="shared" si="2"/>
        <v>11</v>
      </c>
      <c r="H19" s="6">
        <f t="shared" si="2"/>
        <v>10</v>
      </c>
      <c r="I19" s="6">
        <f t="shared" si="2"/>
        <v>14</v>
      </c>
      <c r="J19" s="6">
        <f>COUNT(J3:J6)+COUNT(J12)</f>
        <v>3</v>
      </c>
      <c r="K19" s="6">
        <f>COUNT(K3:K8)+COUNT(K10:K14)</f>
        <v>10</v>
      </c>
      <c r="L19" s="6">
        <f t="shared" si="2"/>
        <v>6</v>
      </c>
      <c r="M19" s="6"/>
    </row>
    <row r="20" spans="2:21" ht="33.75" customHeight="1">
      <c r="B20" s="12" t="s">
        <v>129</v>
      </c>
      <c r="C20" s="17"/>
      <c r="D20" s="17">
        <f aca="true" t="shared" si="3" ref="D20:L20">AVERAGE(D3:D17)</f>
        <v>429.25</v>
      </c>
      <c r="E20" s="17">
        <f t="shared" si="3"/>
        <v>432.84615384615387</v>
      </c>
      <c r="F20" s="17">
        <f t="shared" si="3"/>
        <v>440.38461538461536</v>
      </c>
      <c r="G20" s="17">
        <f t="shared" si="3"/>
        <v>420.72727272727275</v>
      </c>
      <c r="H20" s="17">
        <f t="shared" si="3"/>
        <v>442.5</v>
      </c>
      <c r="I20" s="17">
        <f t="shared" si="3"/>
        <v>434.2142857142857</v>
      </c>
      <c r="J20" s="17">
        <f>J18/J19</f>
        <v>400.3333333333333</v>
      </c>
      <c r="K20" s="17">
        <f>K18/K19</f>
        <v>420.9</v>
      </c>
      <c r="L20" s="17">
        <f t="shared" si="3"/>
        <v>418.8333333333333</v>
      </c>
      <c r="M20" s="17"/>
      <c r="N20" s="3" t="s">
        <v>30</v>
      </c>
      <c r="O20" s="265" t="s">
        <v>117</v>
      </c>
      <c r="P20" s="265"/>
      <c r="Q20" s="3" t="s">
        <v>31</v>
      </c>
      <c r="R20" s="11" t="s">
        <v>118</v>
      </c>
      <c r="T20" s="105" t="s">
        <v>128</v>
      </c>
      <c r="U20" s="105" t="s">
        <v>247</v>
      </c>
    </row>
    <row r="21" spans="14:21" ht="15.75">
      <c r="N21" s="6">
        <f>SUM(N3:N17)</f>
        <v>38603</v>
      </c>
      <c r="O21" s="1">
        <f>SUM(O3:O17)</f>
        <v>73</v>
      </c>
      <c r="P21" s="1">
        <f>SUM(P3:P17)</f>
        <v>47</v>
      </c>
      <c r="Q21" s="1">
        <f>SUM(Q3:Q17)</f>
        <v>547</v>
      </c>
      <c r="R21" s="1">
        <f>SUM(R3:R17)</f>
        <v>20</v>
      </c>
      <c r="T21" s="2">
        <f>O21-P21</f>
        <v>26</v>
      </c>
      <c r="U21" s="2">
        <f>SUM(S18:U18)</f>
        <v>15</v>
      </c>
    </row>
    <row r="23" spans="3:15" ht="15.75">
      <c r="C23" s="270" t="s">
        <v>40</v>
      </c>
      <c r="D23" s="270"/>
      <c r="E23" s="270"/>
      <c r="N23" s="1" t="s">
        <v>130</v>
      </c>
      <c r="O23" s="19">
        <f>N21/U21</f>
        <v>2573.5333333333333</v>
      </c>
    </row>
    <row r="24" spans="3:15" ht="15.75">
      <c r="C24" s="268" t="s">
        <v>134</v>
      </c>
      <c r="D24" s="268"/>
      <c r="E24" s="268"/>
      <c r="N24" s="1" t="s">
        <v>260</v>
      </c>
      <c r="O24" s="6">
        <f>N4+N5+N7+N9+N11+N13+N15+N17+N30+N32+N34+N36+N38+N41+N43</f>
        <v>38709</v>
      </c>
    </row>
    <row r="25" spans="3:14" ht="15.75">
      <c r="C25" s="269" t="s">
        <v>135</v>
      </c>
      <c r="D25" s="269"/>
      <c r="E25" s="269"/>
      <c r="J25" s="262" t="s">
        <v>154</v>
      </c>
      <c r="K25" s="262"/>
      <c r="L25" s="12" t="s">
        <v>155</v>
      </c>
      <c r="M25" s="262" t="s">
        <v>128</v>
      </c>
      <c r="N25" s="262"/>
    </row>
    <row r="26" spans="10:14" ht="15.75">
      <c r="J26" s="1">
        <f>O21+O45</f>
        <v>140</v>
      </c>
      <c r="K26" s="1">
        <f>P21+P45</f>
        <v>100</v>
      </c>
      <c r="L26" s="1">
        <f>R21+R45</f>
        <v>40</v>
      </c>
      <c r="M26" s="267">
        <f>J26-K26</f>
        <v>40</v>
      </c>
      <c r="N26" s="267"/>
    </row>
    <row r="27" spans="1:7" ht="15.75">
      <c r="A27" s="73" t="s">
        <v>144</v>
      </c>
      <c r="B27" s="74"/>
      <c r="C27" s="74" t="s">
        <v>141</v>
      </c>
      <c r="D27" s="74"/>
      <c r="E27" s="74" t="s">
        <v>145</v>
      </c>
      <c r="F27" s="266" t="s">
        <v>143</v>
      </c>
      <c r="G27" s="266"/>
    </row>
    <row r="28" spans="1:7" ht="15.75">
      <c r="A28" s="58"/>
      <c r="B28" s="56"/>
      <c r="C28" s="56"/>
      <c r="D28" s="56"/>
      <c r="E28" s="56"/>
      <c r="F28" s="57"/>
      <c r="G28" s="56"/>
    </row>
    <row r="29" spans="2:21" ht="36.75" customHeight="1" thickBot="1">
      <c r="B29" s="3" t="s">
        <v>25</v>
      </c>
      <c r="C29" s="9" t="s">
        <v>152</v>
      </c>
      <c r="D29" s="69" t="s">
        <v>201</v>
      </c>
      <c r="E29" s="9" t="s">
        <v>47</v>
      </c>
      <c r="F29" s="9" t="s">
        <v>48</v>
      </c>
      <c r="G29" s="9" t="s">
        <v>49</v>
      </c>
      <c r="H29" s="9" t="s">
        <v>50</v>
      </c>
      <c r="I29" s="9" t="s">
        <v>132</v>
      </c>
      <c r="J29" s="9" t="s">
        <v>120</v>
      </c>
      <c r="K29" s="9" t="s">
        <v>121</v>
      </c>
      <c r="L29" s="9" t="s">
        <v>123</v>
      </c>
      <c r="N29" s="5" t="s">
        <v>30</v>
      </c>
      <c r="O29" s="3" t="s">
        <v>15</v>
      </c>
      <c r="P29" s="3" t="s">
        <v>29</v>
      </c>
      <c r="Q29" s="3" t="s">
        <v>31</v>
      </c>
      <c r="R29" s="11" t="s">
        <v>116</v>
      </c>
      <c r="S29" s="2" t="s">
        <v>191</v>
      </c>
      <c r="T29" s="2" t="s">
        <v>192</v>
      </c>
      <c r="U29" s="2" t="s">
        <v>193</v>
      </c>
    </row>
    <row r="30" spans="1:19" s="158" customFormat="1" ht="15.75">
      <c r="A30" s="154" t="s">
        <v>221</v>
      </c>
      <c r="B30" s="154" t="s">
        <v>204</v>
      </c>
      <c r="C30" s="169"/>
      <c r="D30" s="163">
        <v>423</v>
      </c>
      <c r="E30" s="181">
        <v>431</v>
      </c>
      <c r="F30" s="163">
        <v>393</v>
      </c>
      <c r="G30" s="181">
        <v>440</v>
      </c>
      <c r="H30" s="181">
        <v>430</v>
      </c>
      <c r="I30" s="163"/>
      <c r="J30" s="163"/>
      <c r="K30" s="163"/>
      <c r="L30" s="163">
        <v>404</v>
      </c>
      <c r="M30" s="155"/>
      <c r="N30" s="156">
        <f>SUM(C30:M30)</f>
        <v>2521</v>
      </c>
      <c r="O30" s="154">
        <v>5</v>
      </c>
      <c r="P30" s="154">
        <v>3</v>
      </c>
      <c r="Q30" s="154">
        <v>10</v>
      </c>
      <c r="R30" s="154">
        <v>2</v>
      </c>
      <c r="S30" s="158">
        <v>1</v>
      </c>
    </row>
    <row r="31" spans="1:19" s="148" customFormat="1" ht="15.75">
      <c r="A31" s="144" t="s">
        <v>222</v>
      </c>
      <c r="B31" s="144" t="s">
        <v>214</v>
      </c>
      <c r="C31" s="166"/>
      <c r="D31" s="165">
        <v>429</v>
      </c>
      <c r="E31" s="182">
        <v>442</v>
      </c>
      <c r="F31" s="182">
        <v>447</v>
      </c>
      <c r="G31" s="165">
        <v>407</v>
      </c>
      <c r="H31" s="182">
        <v>497</v>
      </c>
      <c r="I31" s="165">
        <v>416</v>
      </c>
      <c r="J31" s="165"/>
      <c r="K31" s="165"/>
      <c r="L31" s="165"/>
      <c r="M31" s="145"/>
      <c r="N31" s="146">
        <f>SUM(C31:M31)</f>
        <v>2638</v>
      </c>
      <c r="O31" s="144">
        <v>5</v>
      </c>
      <c r="P31" s="144">
        <v>3</v>
      </c>
      <c r="Q31" s="144">
        <v>131</v>
      </c>
      <c r="R31" s="144">
        <v>2</v>
      </c>
      <c r="S31" s="148">
        <v>1</v>
      </c>
    </row>
    <row r="32" spans="1:19" s="158" customFormat="1" ht="15.75">
      <c r="A32" s="154" t="s">
        <v>156</v>
      </c>
      <c r="B32" s="162" t="s">
        <v>19</v>
      </c>
      <c r="C32" s="169"/>
      <c r="D32" s="163"/>
      <c r="E32" s="181">
        <v>431</v>
      </c>
      <c r="F32" s="163">
        <v>413</v>
      </c>
      <c r="G32" s="163">
        <v>418</v>
      </c>
      <c r="H32" s="181">
        <v>458</v>
      </c>
      <c r="I32" s="181">
        <v>458</v>
      </c>
      <c r="J32" s="163"/>
      <c r="K32" s="163"/>
      <c r="L32" s="181">
        <v>443</v>
      </c>
      <c r="M32" s="155"/>
      <c r="N32" s="156">
        <f>SUM(C32:M32)</f>
        <v>2621</v>
      </c>
      <c r="O32" s="154">
        <v>6</v>
      </c>
      <c r="P32" s="154">
        <v>2</v>
      </c>
      <c r="Q32" s="154">
        <f>N32-2505</f>
        <v>116</v>
      </c>
      <c r="R32" s="154">
        <v>2</v>
      </c>
      <c r="S32" s="158">
        <v>1</v>
      </c>
    </row>
    <row r="33" spans="1:19" s="148" customFormat="1" ht="15.75">
      <c r="A33" s="144" t="s">
        <v>157</v>
      </c>
      <c r="B33" s="144" t="s">
        <v>21</v>
      </c>
      <c r="C33" s="166"/>
      <c r="D33" s="165"/>
      <c r="E33" s="165"/>
      <c r="F33" s="182">
        <v>433</v>
      </c>
      <c r="G33" s="165">
        <v>409</v>
      </c>
      <c r="H33" s="182">
        <v>495</v>
      </c>
      <c r="I33" s="182">
        <v>459</v>
      </c>
      <c r="J33" s="165"/>
      <c r="K33" s="165">
        <v>414</v>
      </c>
      <c r="L33" s="182">
        <v>433</v>
      </c>
      <c r="M33" s="145"/>
      <c r="N33" s="146">
        <f>SUM(C33:M33)</f>
        <v>2643</v>
      </c>
      <c r="O33" s="144">
        <v>6</v>
      </c>
      <c r="P33" s="144">
        <v>2</v>
      </c>
      <c r="Q33" s="144">
        <v>75</v>
      </c>
      <c r="R33" s="144">
        <v>2</v>
      </c>
      <c r="S33" s="148">
        <v>1</v>
      </c>
    </row>
    <row r="34" spans="1:19" s="158" customFormat="1" ht="15.75">
      <c r="A34" s="154" t="s">
        <v>158</v>
      </c>
      <c r="B34" s="154" t="s">
        <v>24</v>
      </c>
      <c r="C34" s="169"/>
      <c r="D34" s="163">
        <v>394</v>
      </c>
      <c r="E34" s="163"/>
      <c r="F34" s="181">
        <v>464</v>
      </c>
      <c r="G34" s="163">
        <v>435</v>
      </c>
      <c r="H34" s="181">
        <v>446</v>
      </c>
      <c r="I34" s="181">
        <v>460</v>
      </c>
      <c r="J34" s="163"/>
      <c r="K34" s="163"/>
      <c r="L34" s="181">
        <v>463</v>
      </c>
      <c r="M34" s="155"/>
      <c r="N34" s="156">
        <f>SUM(C34:M34)</f>
        <v>2662</v>
      </c>
      <c r="O34" s="154">
        <v>6</v>
      </c>
      <c r="P34" s="154">
        <v>2</v>
      </c>
      <c r="Q34" s="154">
        <f>N34-2648</f>
        <v>14</v>
      </c>
      <c r="R34" s="154">
        <v>2</v>
      </c>
      <c r="S34" s="158">
        <v>1</v>
      </c>
    </row>
    <row r="35" spans="1:19" s="148" customFormat="1" ht="15.75">
      <c r="A35" s="144" t="s">
        <v>159</v>
      </c>
      <c r="B35" s="144" t="s">
        <v>20</v>
      </c>
      <c r="C35" s="166"/>
      <c r="D35" s="165">
        <v>423</v>
      </c>
      <c r="E35" s="165"/>
      <c r="F35" s="165">
        <v>395</v>
      </c>
      <c r="G35" s="182">
        <v>428</v>
      </c>
      <c r="H35" s="182">
        <v>432</v>
      </c>
      <c r="I35" s="182">
        <v>440</v>
      </c>
      <c r="J35" s="165"/>
      <c r="K35" s="165">
        <v>407</v>
      </c>
      <c r="L35" s="165"/>
      <c r="M35" s="145"/>
      <c r="N35" s="146">
        <f aca="true" t="shared" si="4" ref="N35:N44">SUM(C35:M35)</f>
        <v>2525</v>
      </c>
      <c r="O35" s="144">
        <v>5</v>
      </c>
      <c r="P35" s="144">
        <v>3</v>
      </c>
      <c r="Q35" s="144">
        <v>15</v>
      </c>
      <c r="R35" s="144">
        <v>2</v>
      </c>
      <c r="S35" s="148">
        <v>1</v>
      </c>
    </row>
    <row r="36" spans="1:19" s="158" customFormat="1" ht="15.75">
      <c r="A36" s="154" t="s">
        <v>160</v>
      </c>
      <c r="B36" s="154" t="s">
        <v>18</v>
      </c>
      <c r="C36" s="169"/>
      <c r="D36" s="163">
        <v>426</v>
      </c>
      <c r="E36" s="163"/>
      <c r="F36" s="163">
        <v>403</v>
      </c>
      <c r="G36" s="181">
        <v>438</v>
      </c>
      <c r="H36" s="181">
        <v>453</v>
      </c>
      <c r="I36" s="181">
        <v>497</v>
      </c>
      <c r="J36" s="163"/>
      <c r="K36" s="163"/>
      <c r="L36" s="163">
        <v>437</v>
      </c>
      <c r="M36" s="155"/>
      <c r="N36" s="156">
        <f t="shared" si="4"/>
        <v>2654</v>
      </c>
      <c r="O36" s="154">
        <v>5</v>
      </c>
      <c r="P36" s="154">
        <v>3</v>
      </c>
      <c r="Q36" s="154">
        <v>152</v>
      </c>
      <c r="R36" s="154">
        <v>2</v>
      </c>
      <c r="S36" s="158">
        <v>1</v>
      </c>
    </row>
    <row r="37" spans="1:21" s="148" customFormat="1" ht="15.75">
      <c r="A37" s="144" t="s">
        <v>161</v>
      </c>
      <c r="B37" s="144" t="s">
        <v>16</v>
      </c>
      <c r="C37" s="166"/>
      <c r="D37" s="165"/>
      <c r="E37" s="165"/>
      <c r="F37" s="165">
        <v>422</v>
      </c>
      <c r="G37" s="182">
        <v>426</v>
      </c>
      <c r="H37" s="165">
        <v>406</v>
      </c>
      <c r="I37" s="182">
        <v>476</v>
      </c>
      <c r="J37" s="165"/>
      <c r="K37" s="165">
        <v>389</v>
      </c>
      <c r="L37" s="165">
        <v>407</v>
      </c>
      <c r="M37" s="145"/>
      <c r="N37" s="146">
        <f t="shared" si="4"/>
        <v>2526</v>
      </c>
      <c r="O37" s="144">
        <v>2</v>
      </c>
      <c r="P37" s="144">
        <v>6</v>
      </c>
      <c r="Q37" s="144">
        <v>-70</v>
      </c>
      <c r="R37" s="144">
        <v>0</v>
      </c>
      <c r="U37" s="148">
        <v>1</v>
      </c>
    </row>
    <row r="38" spans="1:19" s="158" customFormat="1" ht="15.75">
      <c r="A38" s="154" t="s">
        <v>162</v>
      </c>
      <c r="B38" s="154" t="s">
        <v>223</v>
      </c>
      <c r="C38" s="169"/>
      <c r="D38" s="187">
        <v>437</v>
      </c>
      <c r="E38" s="163"/>
      <c r="F38" s="163">
        <v>414</v>
      </c>
      <c r="G38" s="163">
        <v>397</v>
      </c>
      <c r="H38" s="187">
        <v>471</v>
      </c>
      <c r="I38" s="163">
        <v>433</v>
      </c>
      <c r="J38" s="163"/>
      <c r="K38" s="163"/>
      <c r="L38" s="187">
        <v>449</v>
      </c>
      <c r="M38" s="155"/>
      <c r="N38" s="156">
        <f t="shared" si="4"/>
        <v>2601</v>
      </c>
      <c r="O38" s="154">
        <v>5</v>
      </c>
      <c r="P38" s="154">
        <v>3</v>
      </c>
      <c r="Q38" s="154">
        <v>53</v>
      </c>
      <c r="R38" s="154">
        <v>2</v>
      </c>
      <c r="S38" s="158">
        <v>1</v>
      </c>
    </row>
    <row r="39" spans="1:19" s="148" customFormat="1" ht="15.75">
      <c r="A39" s="144" t="s">
        <v>163</v>
      </c>
      <c r="B39" s="144" t="s">
        <v>22</v>
      </c>
      <c r="C39" s="166"/>
      <c r="D39" s="182">
        <v>465</v>
      </c>
      <c r="E39" s="165"/>
      <c r="F39" s="165">
        <v>404</v>
      </c>
      <c r="G39" s="165"/>
      <c r="H39" s="165"/>
      <c r="I39" s="165">
        <v>385</v>
      </c>
      <c r="J39" s="182">
        <v>433</v>
      </c>
      <c r="K39" s="182">
        <v>413</v>
      </c>
      <c r="L39" s="182">
        <v>420</v>
      </c>
      <c r="M39" s="145"/>
      <c r="N39" s="146">
        <f t="shared" si="4"/>
        <v>2520</v>
      </c>
      <c r="O39" s="144">
        <v>6</v>
      </c>
      <c r="P39" s="144">
        <v>2</v>
      </c>
      <c r="Q39" s="144">
        <v>133</v>
      </c>
      <c r="R39" s="144">
        <v>2</v>
      </c>
      <c r="S39" s="148">
        <v>1</v>
      </c>
    </row>
    <row r="40" spans="1:21" s="148" customFormat="1" ht="15.75">
      <c r="A40" s="144" t="s">
        <v>164</v>
      </c>
      <c r="B40" s="144" t="s">
        <v>26</v>
      </c>
      <c r="C40" s="166"/>
      <c r="D40" s="225">
        <v>458</v>
      </c>
      <c r="E40" s="165"/>
      <c r="F40" s="165"/>
      <c r="G40" s="165">
        <v>435</v>
      </c>
      <c r="H40" s="165">
        <v>431</v>
      </c>
      <c r="I40" s="165">
        <v>420</v>
      </c>
      <c r="J40" s="165">
        <v>418</v>
      </c>
      <c r="K40" s="165"/>
      <c r="L40" s="225">
        <v>452</v>
      </c>
      <c r="M40" s="145"/>
      <c r="N40" s="146">
        <f t="shared" si="4"/>
        <v>2614</v>
      </c>
      <c r="O40" s="144">
        <v>2</v>
      </c>
      <c r="P40" s="144">
        <v>6</v>
      </c>
      <c r="Q40" s="144">
        <v>-81</v>
      </c>
      <c r="R40" s="144">
        <v>0</v>
      </c>
      <c r="U40" s="148">
        <v>1</v>
      </c>
    </row>
    <row r="41" spans="1:21" s="158" customFormat="1" ht="15.75">
      <c r="A41" s="154" t="s">
        <v>165</v>
      </c>
      <c r="B41" s="154" t="s">
        <v>17</v>
      </c>
      <c r="C41" s="169"/>
      <c r="D41" s="163">
        <v>414</v>
      </c>
      <c r="E41" s="163"/>
      <c r="F41" s="224">
        <v>446</v>
      </c>
      <c r="G41" s="163">
        <v>423</v>
      </c>
      <c r="H41" s="163">
        <v>411</v>
      </c>
      <c r="I41" s="224">
        <v>459</v>
      </c>
      <c r="J41" s="163"/>
      <c r="K41" s="163"/>
      <c r="L41" s="224">
        <v>441</v>
      </c>
      <c r="M41" s="155"/>
      <c r="N41" s="156">
        <f t="shared" si="4"/>
        <v>2594</v>
      </c>
      <c r="O41" s="154">
        <v>3</v>
      </c>
      <c r="P41" s="154">
        <v>5</v>
      </c>
      <c r="Q41" s="154">
        <f>N41-2650</f>
        <v>-56</v>
      </c>
      <c r="R41" s="154">
        <v>0</v>
      </c>
      <c r="U41" s="158">
        <v>1</v>
      </c>
    </row>
    <row r="42" spans="1:19" s="148" customFormat="1" ht="15.75">
      <c r="A42" s="144" t="s">
        <v>166</v>
      </c>
      <c r="B42" s="144" t="s">
        <v>218</v>
      </c>
      <c r="C42" s="166"/>
      <c r="D42" s="165"/>
      <c r="E42" s="165">
        <v>416</v>
      </c>
      <c r="F42" s="225">
        <v>432</v>
      </c>
      <c r="G42" s="165">
        <v>418</v>
      </c>
      <c r="H42" s="165"/>
      <c r="I42" s="225">
        <v>470</v>
      </c>
      <c r="J42" s="165">
        <v>409</v>
      </c>
      <c r="K42" s="165"/>
      <c r="L42" s="225">
        <v>421</v>
      </c>
      <c r="M42" s="145"/>
      <c r="N42" s="146">
        <f t="shared" si="4"/>
        <v>2566</v>
      </c>
      <c r="O42" s="144">
        <v>5</v>
      </c>
      <c r="P42" s="144">
        <v>3</v>
      </c>
      <c r="Q42" s="144">
        <v>153</v>
      </c>
      <c r="R42" s="144">
        <v>2</v>
      </c>
      <c r="S42" s="148">
        <v>1</v>
      </c>
    </row>
    <row r="43" spans="1:21" s="158" customFormat="1" ht="15.75">
      <c r="A43" s="154" t="s">
        <v>167</v>
      </c>
      <c r="B43" s="154" t="s">
        <v>23</v>
      </c>
      <c r="C43" s="169"/>
      <c r="D43" s="224">
        <v>430</v>
      </c>
      <c r="E43" s="163"/>
      <c r="F43" s="163"/>
      <c r="G43" s="163">
        <v>413</v>
      </c>
      <c r="H43" s="224">
        <v>436</v>
      </c>
      <c r="I43" s="163">
        <v>429</v>
      </c>
      <c r="J43" s="163">
        <v>412</v>
      </c>
      <c r="K43" s="163"/>
      <c r="L43" s="224">
        <v>432</v>
      </c>
      <c r="M43" s="155"/>
      <c r="N43" s="156">
        <f>SUM(B43:M43)</f>
        <v>2552</v>
      </c>
      <c r="O43" s="154">
        <v>3</v>
      </c>
      <c r="P43" s="154">
        <v>5</v>
      </c>
      <c r="Q43" s="154">
        <f>N43-2599</f>
        <v>-47</v>
      </c>
      <c r="R43" s="154">
        <v>0</v>
      </c>
      <c r="U43" s="158">
        <v>1</v>
      </c>
    </row>
    <row r="44" spans="1:21" s="148" customFormat="1" ht="16.5" thickBot="1">
      <c r="A44" s="144" t="s">
        <v>168</v>
      </c>
      <c r="B44" s="144" t="s">
        <v>217</v>
      </c>
      <c r="C44" s="168"/>
      <c r="D44" s="167">
        <v>409</v>
      </c>
      <c r="E44" s="167"/>
      <c r="F44" s="233">
        <v>440</v>
      </c>
      <c r="G44" s="167">
        <v>409</v>
      </c>
      <c r="H44" s="233">
        <v>451</v>
      </c>
      <c r="I44" s="167">
        <v>423</v>
      </c>
      <c r="J44" s="167"/>
      <c r="K44" s="167"/>
      <c r="L44" s="233">
        <v>453</v>
      </c>
      <c r="M44" s="150"/>
      <c r="N44" s="152">
        <f t="shared" si="4"/>
        <v>2585</v>
      </c>
      <c r="O44" s="151">
        <v>3</v>
      </c>
      <c r="P44" s="151">
        <v>5</v>
      </c>
      <c r="Q44" s="151">
        <v>-66</v>
      </c>
      <c r="R44" s="151">
        <v>0</v>
      </c>
      <c r="S44" s="180"/>
      <c r="T44" s="180"/>
      <c r="U44" s="180">
        <v>1</v>
      </c>
    </row>
    <row r="45" spans="3:21" ht="16.5" thickTop="1">
      <c r="C45" s="7">
        <f aca="true" t="shared" si="5" ref="C45:L45">SUM(C30:C44)</f>
        <v>0</v>
      </c>
      <c r="D45" s="7">
        <f t="shared" si="5"/>
        <v>4708</v>
      </c>
      <c r="E45" s="7">
        <f t="shared" si="5"/>
        <v>1720</v>
      </c>
      <c r="F45" s="7">
        <f t="shared" si="5"/>
        <v>5506</v>
      </c>
      <c r="G45" s="7">
        <f t="shared" si="5"/>
        <v>5896</v>
      </c>
      <c r="H45" s="7">
        <f t="shared" si="5"/>
        <v>5817</v>
      </c>
      <c r="I45" s="7">
        <f t="shared" si="5"/>
        <v>6225</v>
      </c>
      <c r="J45" s="7">
        <f t="shared" si="5"/>
        <v>1672</v>
      </c>
      <c r="K45" s="7">
        <f t="shared" si="5"/>
        <v>1623</v>
      </c>
      <c r="L45" s="7">
        <f t="shared" si="5"/>
        <v>5655</v>
      </c>
      <c r="M45" s="7"/>
      <c r="O45" s="1">
        <f>SUM(O30:O44)</f>
        <v>67</v>
      </c>
      <c r="P45" s="1">
        <f>SUM(P30:P44)</f>
        <v>53</v>
      </c>
      <c r="Q45" s="1">
        <f>SUM(Q30:Q44)</f>
        <v>532</v>
      </c>
      <c r="R45" s="1">
        <f>SUM(R30:R44)</f>
        <v>20</v>
      </c>
      <c r="S45" s="1">
        <f>SUM(S30:S44)+S18</f>
        <v>20</v>
      </c>
      <c r="T45" s="1">
        <f>SUM(T30:T44)+T18</f>
        <v>0</v>
      </c>
      <c r="U45" s="1">
        <f>SUM(U30:U44)+U18</f>
        <v>10</v>
      </c>
    </row>
    <row r="46" spans="2:12" ht="31.5">
      <c r="B46" s="83" t="s">
        <v>280</v>
      </c>
      <c r="C46" s="1">
        <f>COUNT(C30:C44)</f>
        <v>0</v>
      </c>
      <c r="D46" s="1">
        <f aca="true" t="shared" si="6" ref="D46:L46">COUNT(D30:D44)</f>
        <v>11</v>
      </c>
      <c r="E46" s="1">
        <f t="shared" si="6"/>
        <v>4</v>
      </c>
      <c r="F46" s="1">
        <f t="shared" si="6"/>
        <v>13</v>
      </c>
      <c r="G46" s="1">
        <f t="shared" si="6"/>
        <v>14</v>
      </c>
      <c r="H46" s="1">
        <f t="shared" si="6"/>
        <v>13</v>
      </c>
      <c r="I46" s="1">
        <f t="shared" si="6"/>
        <v>14</v>
      </c>
      <c r="J46" s="1">
        <f t="shared" si="6"/>
        <v>4</v>
      </c>
      <c r="K46" s="1">
        <f t="shared" si="6"/>
        <v>4</v>
      </c>
      <c r="L46" s="1">
        <f t="shared" si="6"/>
        <v>13</v>
      </c>
    </row>
    <row r="47" spans="2:21" ht="31.5">
      <c r="B47" s="12" t="s">
        <v>275</v>
      </c>
      <c r="C47" s="17"/>
      <c r="D47" s="17">
        <f aca="true" t="shared" si="7" ref="D47:J47">D45/D46</f>
        <v>428</v>
      </c>
      <c r="E47" s="17">
        <f t="shared" si="7"/>
        <v>430</v>
      </c>
      <c r="F47" s="17">
        <f t="shared" si="7"/>
        <v>423.53846153846155</v>
      </c>
      <c r="G47" s="17">
        <f t="shared" si="7"/>
        <v>421.14285714285717</v>
      </c>
      <c r="H47" s="17">
        <f t="shared" si="7"/>
        <v>447.46153846153845</v>
      </c>
      <c r="I47" s="17">
        <f t="shared" si="7"/>
        <v>444.64285714285717</v>
      </c>
      <c r="J47" s="17">
        <f t="shared" si="7"/>
        <v>418</v>
      </c>
      <c r="K47" s="17">
        <f>K45/K46</f>
        <v>405.75</v>
      </c>
      <c r="L47" s="17">
        <f>L45/L46</f>
        <v>435</v>
      </c>
      <c r="N47" s="3" t="s">
        <v>30</v>
      </c>
      <c r="O47" s="265" t="s">
        <v>117</v>
      </c>
      <c r="P47" s="265"/>
      <c r="Q47" s="3" t="s">
        <v>31</v>
      </c>
      <c r="R47" s="11" t="s">
        <v>118</v>
      </c>
      <c r="T47" s="105" t="s">
        <v>128</v>
      </c>
      <c r="U47" s="105" t="s">
        <v>247</v>
      </c>
    </row>
    <row r="48" spans="11:21" ht="15.75">
      <c r="K48" s="17"/>
      <c r="N48" s="6">
        <f>SUM(N30:N44)+N21</f>
        <v>77425</v>
      </c>
      <c r="O48" s="6">
        <f>SUM(O30:O44)+O21</f>
        <v>140</v>
      </c>
      <c r="P48" s="6">
        <f>SUM(P30:P44)+P21</f>
        <v>100</v>
      </c>
      <c r="Q48" s="6">
        <f>SUM(Q30:Q44)+Q21</f>
        <v>1079</v>
      </c>
      <c r="R48" s="6">
        <f>SUM(R30:R44)+R21</f>
        <v>40</v>
      </c>
      <c r="T48" s="2">
        <f>O48-P48</f>
        <v>40</v>
      </c>
      <c r="U48" s="2">
        <f>SUM(S45:U45)</f>
        <v>30</v>
      </c>
    </row>
    <row r="50" spans="14:15" ht="15.75">
      <c r="N50" s="1" t="s">
        <v>130</v>
      </c>
      <c r="O50" s="19">
        <f>N48/U48</f>
        <v>2580.8333333333335</v>
      </c>
    </row>
  </sheetData>
  <sheetProtection/>
  <mergeCells count="11">
    <mergeCell ref="C1:M1"/>
    <mergeCell ref="O1:P1"/>
    <mergeCell ref="C23:E23"/>
    <mergeCell ref="O20:P20"/>
    <mergeCell ref="O47:P47"/>
    <mergeCell ref="F27:G27"/>
    <mergeCell ref="M26:N26"/>
    <mergeCell ref="C24:E24"/>
    <mergeCell ref="C25:E25"/>
    <mergeCell ref="J25:K25"/>
    <mergeCell ref="M25:N25"/>
  </mergeCells>
  <printOptions/>
  <pageMargins left="0.75" right="0.75" top="1" bottom="1" header="0.5" footer="0.5"/>
  <pageSetup horizontalDpi="600" verticalDpi="600" orientation="portrait" paperSize="9" r:id="rId1"/>
  <ignoredErrors>
    <ignoredError sqref="J18:J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T50"/>
  <sheetViews>
    <sheetView zoomScale="90" zoomScaleNormal="90" zoomScalePageLayoutView="0" workbookViewId="0" topLeftCell="A22">
      <selection activeCell="I44" sqref="I44"/>
    </sheetView>
  </sheetViews>
  <sheetFormatPr defaultColWidth="9.00390625" defaultRowHeight="12.75"/>
  <cols>
    <col min="1" max="1" width="13.375" style="1" customWidth="1"/>
    <col min="2" max="2" width="14.75390625" style="1" bestFit="1" customWidth="1"/>
    <col min="3" max="7" width="9.125" style="1" customWidth="1"/>
    <col min="8" max="8" width="11.875" style="1" customWidth="1"/>
    <col min="9" max="9" width="10.375" style="1" customWidth="1"/>
    <col min="10" max="10" width="9.125" style="1" customWidth="1"/>
    <col min="11" max="11" width="12.00390625" style="1" customWidth="1"/>
    <col min="12" max="12" width="15.75390625" style="1" bestFit="1" customWidth="1"/>
    <col min="13" max="13" width="17.625" style="1" bestFit="1" customWidth="1"/>
    <col min="14" max="14" width="11.25390625" style="1" customWidth="1"/>
    <col min="15" max="15" width="13.375" style="1" bestFit="1" customWidth="1"/>
    <col min="16" max="16" width="13.375" style="1" customWidth="1"/>
    <col min="17" max="17" width="12.75390625" style="1" customWidth="1"/>
    <col min="19" max="20" width="11.87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N1" s="265" t="s">
        <v>28</v>
      </c>
      <c r="O1" s="265"/>
      <c r="R1" s="2"/>
      <c r="S1" s="2"/>
      <c r="T1" s="2"/>
    </row>
    <row r="2" spans="2:19" ht="36.75" customHeight="1" thickBot="1">
      <c r="B2" s="3" t="s">
        <v>25</v>
      </c>
      <c r="C2" s="9" t="s">
        <v>37</v>
      </c>
      <c r="D2" s="9" t="s">
        <v>38</v>
      </c>
      <c r="E2" s="9" t="s">
        <v>66</v>
      </c>
      <c r="F2" s="9" t="s">
        <v>67</v>
      </c>
      <c r="G2" s="9" t="s">
        <v>68</v>
      </c>
      <c r="H2" s="9" t="s">
        <v>98</v>
      </c>
      <c r="I2" s="9" t="s">
        <v>35</v>
      </c>
      <c r="J2" s="9" t="s">
        <v>203</v>
      </c>
      <c r="K2" s="94"/>
      <c r="L2" s="3" t="s">
        <v>30</v>
      </c>
      <c r="M2" s="3" t="s">
        <v>24</v>
      </c>
      <c r="N2" s="3" t="s">
        <v>29</v>
      </c>
      <c r="O2" s="3" t="s">
        <v>31</v>
      </c>
      <c r="P2" s="11" t="s">
        <v>116</v>
      </c>
      <c r="Q2" s="2" t="s">
        <v>191</v>
      </c>
      <c r="R2" s="2" t="s">
        <v>192</v>
      </c>
      <c r="S2" s="2" t="s">
        <v>193</v>
      </c>
    </row>
    <row r="3" spans="1:19" s="25" customFormat="1" ht="15.75">
      <c r="A3" s="20" t="s">
        <v>0</v>
      </c>
      <c r="B3" s="20" t="s">
        <v>19</v>
      </c>
      <c r="C3" s="92">
        <v>456</v>
      </c>
      <c r="D3" s="92">
        <v>487</v>
      </c>
      <c r="E3" s="47">
        <v>408</v>
      </c>
      <c r="F3" s="47"/>
      <c r="G3" s="47">
        <v>199</v>
      </c>
      <c r="H3" s="47">
        <v>219</v>
      </c>
      <c r="I3" s="92">
        <v>424</v>
      </c>
      <c r="J3" s="47">
        <v>396</v>
      </c>
      <c r="K3" s="39"/>
      <c r="L3" s="23">
        <f aca="true" t="shared" si="0" ref="L3:L17">SUM(C3:K3)</f>
        <v>2589</v>
      </c>
      <c r="M3" s="20">
        <v>5</v>
      </c>
      <c r="N3" s="20">
        <v>3</v>
      </c>
      <c r="O3" s="20">
        <v>110</v>
      </c>
      <c r="P3" s="20">
        <v>2</v>
      </c>
      <c r="Q3" s="109">
        <v>1</v>
      </c>
      <c r="R3" s="109"/>
      <c r="S3" s="109"/>
    </row>
    <row r="4" spans="1:19" s="34" customFormat="1" ht="15.75">
      <c r="A4" s="29" t="s">
        <v>1</v>
      </c>
      <c r="B4" s="29" t="s">
        <v>214</v>
      </c>
      <c r="C4" s="93">
        <v>460</v>
      </c>
      <c r="D4" s="93">
        <v>445</v>
      </c>
      <c r="E4" s="48"/>
      <c r="F4" s="48">
        <v>421</v>
      </c>
      <c r="G4" s="48">
        <v>405</v>
      </c>
      <c r="H4" s="48"/>
      <c r="I4" s="93">
        <v>425</v>
      </c>
      <c r="J4" s="48">
        <v>417</v>
      </c>
      <c r="K4" s="44"/>
      <c r="L4" s="32">
        <f t="shared" si="0"/>
        <v>2573</v>
      </c>
      <c r="M4" s="29">
        <v>5</v>
      </c>
      <c r="N4" s="29">
        <v>3</v>
      </c>
      <c r="O4" s="29">
        <v>47</v>
      </c>
      <c r="P4" s="29">
        <v>2</v>
      </c>
      <c r="Q4" s="110">
        <v>1</v>
      </c>
      <c r="R4" s="110"/>
      <c r="S4" s="110"/>
    </row>
    <row r="5" spans="1:19" s="25" customFormat="1" ht="15.75">
      <c r="A5" s="20" t="s">
        <v>2</v>
      </c>
      <c r="B5" s="20" t="s">
        <v>204</v>
      </c>
      <c r="C5" s="47"/>
      <c r="D5" s="92">
        <v>457</v>
      </c>
      <c r="E5" s="47"/>
      <c r="F5" s="47">
        <v>418</v>
      </c>
      <c r="G5" s="47">
        <v>424</v>
      </c>
      <c r="H5" s="47">
        <v>431</v>
      </c>
      <c r="I5" s="92">
        <v>462</v>
      </c>
      <c r="J5" s="47">
        <v>399</v>
      </c>
      <c r="K5" s="39"/>
      <c r="L5" s="23">
        <f t="shared" si="0"/>
        <v>2591</v>
      </c>
      <c r="M5" s="20">
        <v>2</v>
      </c>
      <c r="N5" s="20">
        <v>6</v>
      </c>
      <c r="O5" s="20">
        <v>-23</v>
      </c>
      <c r="P5" s="20">
        <v>0</v>
      </c>
      <c r="Q5" s="109"/>
      <c r="R5" s="109"/>
      <c r="S5" s="109">
        <v>1</v>
      </c>
    </row>
    <row r="6" spans="1:19" s="34" customFormat="1" ht="15.75">
      <c r="A6" s="29" t="s">
        <v>3</v>
      </c>
      <c r="B6" s="29" t="s">
        <v>217</v>
      </c>
      <c r="C6" s="93">
        <v>454</v>
      </c>
      <c r="D6" s="93">
        <v>501</v>
      </c>
      <c r="E6" s="48"/>
      <c r="F6" s="48">
        <v>404</v>
      </c>
      <c r="G6" s="48">
        <v>435</v>
      </c>
      <c r="H6" s="48">
        <v>426</v>
      </c>
      <c r="I6" s="93">
        <v>437</v>
      </c>
      <c r="J6" s="48"/>
      <c r="K6" s="44"/>
      <c r="L6" s="32">
        <f t="shared" si="0"/>
        <v>2657</v>
      </c>
      <c r="M6" s="29">
        <v>5</v>
      </c>
      <c r="N6" s="29">
        <v>3</v>
      </c>
      <c r="O6" s="32">
        <f>L6-2592</f>
        <v>65</v>
      </c>
      <c r="P6" s="29">
        <v>2</v>
      </c>
      <c r="Q6" s="110">
        <v>1</v>
      </c>
      <c r="R6" s="110"/>
      <c r="S6" s="110"/>
    </row>
    <row r="7" spans="1:19" s="25" customFormat="1" ht="15.75">
      <c r="A7" s="20" t="s">
        <v>4</v>
      </c>
      <c r="B7" s="20" t="s">
        <v>23</v>
      </c>
      <c r="C7" s="92">
        <v>464</v>
      </c>
      <c r="D7" s="47">
        <v>206</v>
      </c>
      <c r="E7" s="47"/>
      <c r="F7" s="47">
        <v>397</v>
      </c>
      <c r="G7" s="47">
        <v>202</v>
      </c>
      <c r="H7" s="92">
        <v>436</v>
      </c>
      <c r="I7" s="47">
        <v>390</v>
      </c>
      <c r="J7" s="92">
        <v>447</v>
      </c>
      <c r="K7" s="39"/>
      <c r="L7" s="23">
        <f t="shared" si="0"/>
        <v>2542</v>
      </c>
      <c r="M7" s="20">
        <v>5</v>
      </c>
      <c r="N7" s="20">
        <v>3</v>
      </c>
      <c r="O7" s="23">
        <v>41</v>
      </c>
      <c r="P7" s="20">
        <v>2</v>
      </c>
      <c r="Q7" s="109">
        <v>1</v>
      </c>
      <c r="R7" s="109"/>
      <c r="S7" s="109"/>
    </row>
    <row r="8" spans="1:19" s="34" customFormat="1" ht="15.75">
      <c r="A8" s="29" t="s">
        <v>5</v>
      </c>
      <c r="B8" s="29" t="s">
        <v>218</v>
      </c>
      <c r="C8" s="93">
        <v>426</v>
      </c>
      <c r="D8" s="93">
        <v>415</v>
      </c>
      <c r="E8" s="48"/>
      <c r="F8" s="48">
        <v>387</v>
      </c>
      <c r="G8" s="48"/>
      <c r="H8" s="93">
        <v>402</v>
      </c>
      <c r="I8" s="48">
        <v>389</v>
      </c>
      <c r="J8" s="93">
        <v>412</v>
      </c>
      <c r="K8" s="44"/>
      <c r="L8" s="32">
        <f t="shared" si="0"/>
        <v>2431</v>
      </c>
      <c r="M8" s="29">
        <v>6</v>
      </c>
      <c r="N8" s="29">
        <v>2</v>
      </c>
      <c r="O8" s="32">
        <f>L8-2367</f>
        <v>64</v>
      </c>
      <c r="P8" s="29">
        <v>2</v>
      </c>
      <c r="Q8" s="110">
        <v>1</v>
      </c>
      <c r="R8" s="110"/>
      <c r="S8" s="110"/>
    </row>
    <row r="9" spans="1:19" s="25" customFormat="1" ht="15.75">
      <c r="A9" s="20" t="s">
        <v>6</v>
      </c>
      <c r="B9" s="20" t="s">
        <v>17</v>
      </c>
      <c r="C9" s="92">
        <v>459</v>
      </c>
      <c r="D9" s="92">
        <v>484</v>
      </c>
      <c r="E9" s="92">
        <v>222</v>
      </c>
      <c r="F9" s="47"/>
      <c r="G9" s="92">
        <v>204</v>
      </c>
      <c r="H9" s="47">
        <v>404</v>
      </c>
      <c r="I9" s="92">
        <v>429</v>
      </c>
      <c r="J9" s="47">
        <v>382</v>
      </c>
      <c r="K9" s="39"/>
      <c r="L9" s="23">
        <f t="shared" si="0"/>
        <v>2584</v>
      </c>
      <c r="M9" s="20">
        <v>6</v>
      </c>
      <c r="N9" s="20">
        <v>2</v>
      </c>
      <c r="O9" s="23">
        <v>98</v>
      </c>
      <c r="P9" s="20">
        <v>2</v>
      </c>
      <c r="Q9" s="109">
        <v>1</v>
      </c>
      <c r="R9" s="109"/>
      <c r="S9" s="109"/>
    </row>
    <row r="10" spans="1:19" s="34" customFormat="1" ht="15.75">
      <c r="A10" s="29" t="s">
        <v>7</v>
      </c>
      <c r="B10" s="29" t="s">
        <v>15</v>
      </c>
      <c r="C10" s="97">
        <v>450</v>
      </c>
      <c r="D10" s="48"/>
      <c r="E10" s="52">
        <v>387</v>
      </c>
      <c r="F10" s="52">
        <v>425</v>
      </c>
      <c r="G10" s="52">
        <v>389</v>
      </c>
      <c r="H10" s="97">
        <v>481</v>
      </c>
      <c r="I10" s="52"/>
      <c r="J10" s="97">
        <v>457</v>
      </c>
      <c r="K10" s="44"/>
      <c r="L10" s="32">
        <f t="shared" si="0"/>
        <v>2589</v>
      </c>
      <c r="M10" s="29">
        <v>3</v>
      </c>
      <c r="N10" s="29">
        <v>5</v>
      </c>
      <c r="O10" s="32">
        <f>L10-2623</f>
        <v>-34</v>
      </c>
      <c r="P10" s="29">
        <v>0</v>
      </c>
      <c r="Q10" s="110"/>
      <c r="R10" s="110"/>
      <c r="S10" s="110">
        <v>1</v>
      </c>
    </row>
    <row r="11" spans="1:19" s="25" customFormat="1" ht="15.75">
      <c r="A11" s="20" t="s">
        <v>8</v>
      </c>
      <c r="B11" s="20" t="s">
        <v>22</v>
      </c>
      <c r="C11" s="85">
        <v>423</v>
      </c>
      <c r="D11" s="92">
        <v>467</v>
      </c>
      <c r="E11" s="47"/>
      <c r="F11" s="92">
        <v>424</v>
      </c>
      <c r="G11" s="47">
        <v>373</v>
      </c>
      <c r="H11" s="47"/>
      <c r="I11" s="92">
        <v>433</v>
      </c>
      <c r="J11" s="92">
        <v>442</v>
      </c>
      <c r="K11" s="39"/>
      <c r="L11" s="23">
        <f t="shared" si="0"/>
        <v>2562</v>
      </c>
      <c r="M11" s="20">
        <v>6</v>
      </c>
      <c r="N11" s="20">
        <v>2</v>
      </c>
      <c r="O11" s="20">
        <v>85</v>
      </c>
      <c r="P11" s="20">
        <v>2</v>
      </c>
      <c r="Q11" s="109">
        <v>1</v>
      </c>
      <c r="R11" s="109"/>
      <c r="S11" s="109"/>
    </row>
    <row r="12" spans="1:19" s="34" customFormat="1" ht="15.75">
      <c r="A12" s="29" t="s">
        <v>9</v>
      </c>
      <c r="B12" s="29" t="s">
        <v>215</v>
      </c>
      <c r="C12" s="93">
        <v>505</v>
      </c>
      <c r="D12" s="93">
        <v>418</v>
      </c>
      <c r="E12" s="48">
        <v>387</v>
      </c>
      <c r="F12" s="48">
        <v>384</v>
      </c>
      <c r="G12" s="48"/>
      <c r="H12" s="93">
        <v>452</v>
      </c>
      <c r="I12" s="48">
        <v>415</v>
      </c>
      <c r="J12" s="48"/>
      <c r="K12" s="44"/>
      <c r="L12" s="32">
        <f t="shared" si="0"/>
        <v>2561</v>
      </c>
      <c r="M12" s="29">
        <v>5</v>
      </c>
      <c r="N12" s="29">
        <v>3</v>
      </c>
      <c r="O12" s="32">
        <f>L12-2491</f>
        <v>70</v>
      </c>
      <c r="P12" s="72">
        <v>2</v>
      </c>
      <c r="Q12" s="110">
        <v>1</v>
      </c>
      <c r="R12" s="110"/>
      <c r="S12" s="110"/>
    </row>
    <row r="13" spans="1:19" s="25" customFormat="1" ht="15.75">
      <c r="A13" s="20" t="s">
        <v>10</v>
      </c>
      <c r="B13" s="20" t="s">
        <v>16</v>
      </c>
      <c r="C13" s="92">
        <v>469</v>
      </c>
      <c r="D13" s="92">
        <v>459</v>
      </c>
      <c r="E13" s="47"/>
      <c r="F13" s="47">
        <v>422</v>
      </c>
      <c r="G13" s="47"/>
      <c r="H13" s="47">
        <v>426</v>
      </c>
      <c r="I13" s="47">
        <v>412</v>
      </c>
      <c r="J13" s="47">
        <v>429</v>
      </c>
      <c r="K13" s="39"/>
      <c r="L13" s="23">
        <f t="shared" si="0"/>
        <v>2617</v>
      </c>
      <c r="M13" s="20">
        <v>2</v>
      </c>
      <c r="N13" s="20">
        <v>6</v>
      </c>
      <c r="O13" s="23">
        <v>-31</v>
      </c>
      <c r="P13" s="20">
        <v>0</v>
      </c>
      <c r="Q13" s="109"/>
      <c r="R13" s="109"/>
      <c r="S13" s="109">
        <v>1</v>
      </c>
    </row>
    <row r="14" spans="1:19" s="34" customFormat="1" ht="15.75">
      <c r="A14" s="29" t="s">
        <v>11</v>
      </c>
      <c r="B14" s="29" t="s">
        <v>18</v>
      </c>
      <c r="C14" s="93">
        <v>469</v>
      </c>
      <c r="D14" s="93">
        <v>496</v>
      </c>
      <c r="E14" s="48"/>
      <c r="F14" s="48">
        <v>399</v>
      </c>
      <c r="G14" s="93">
        <v>436</v>
      </c>
      <c r="H14" s="48">
        <v>425</v>
      </c>
      <c r="I14" s="48"/>
      <c r="J14" s="48">
        <v>418</v>
      </c>
      <c r="K14" s="44"/>
      <c r="L14" s="32">
        <f t="shared" si="0"/>
        <v>2643</v>
      </c>
      <c r="M14" s="29">
        <v>3</v>
      </c>
      <c r="N14" s="29">
        <v>5</v>
      </c>
      <c r="O14" s="29">
        <v>-18</v>
      </c>
      <c r="P14" s="29">
        <v>0</v>
      </c>
      <c r="Q14" s="110"/>
      <c r="R14" s="110"/>
      <c r="S14" s="110">
        <v>1</v>
      </c>
    </row>
    <row r="15" spans="1:19" s="25" customFormat="1" ht="15.75">
      <c r="A15" s="20" t="s">
        <v>12</v>
      </c>
      <c r="B15" s="20" t="s">
        <v>20</v>
      </c>
      <c r="C15" s="92">
        <v>461</v>
      </c>
      <c r="D15" s="47"/>
      <c r="E15" s="47">
        <v>433</v>
      </c>
      <c r="F15" s="47"/>
      <c r="G15" s="47">
        <v>399</v>
      </c>
      <c r="H15" s="47">
        <v>406</v>
      </c>
      <c r="I15" s="92">
        <v>444</v>
      </c>
      <c r="J15" s="47">
        <v>421</v>
      </c>
      <c r="K15" s="39"/>
      <c r="L15" s="23">
        <f t="shared" si="0"/>
        <v>2564</v>
      </c>
      <c r="M15" s="20">
        <v>2</v>
      </c>
      <c r="N15" s="20">
        <v>6</v>
      </c>
      <c r="O15" s="23">
        <f>L15-2681</f>
        <v>-117</v>
      </c>
      <c r="P15" s="20">
        <v>0</v>
      </c>
      <c r="Q15" s="109"/>
      <c r="R15" s="109"/>
      <c r="S15" s="109">
        <v>1</v>
      </c>
    </row>
    <row r="16" spans="1:19" s="25" customFormat="1" ht="15.75">
      <c r="A16" s="20" t="s">
        <v>13</v>
      </c>
      <c r="B16" s="20" t="s">
        <v>26</v>
      </c>
      <c r="C16" s="92">
        <v>450</v>
      </c>
      <c r="D16" s="47">
        <v>425</v>
      </c>
      <c r="E16" s="47">
        <v>394</v>
      </c>
      <c r="F16" s="47"/>
      <c r="G16" s="47"/>
      <c r="H16" s="92">
        <v>441</v>
      </c>
      <c r="I16" s="92">
        <v>451</v>
      </c>
      <c r="J16" s="92">
        <v>439</v>
      </c>
      <c r="K16" s="39"/>
      <c r="L16" s="23">
        <f t="shared" si="0"/>
        <v>2600</v>
      </c>
      <c r="M16" s="20">
        <v>6</v>
      </c>
      <c r="N16" s="20">
        <v>2</v>
      </c>
      <c r="O16" s="23">
        <v>18</v>
      </c>
      <c r="P16" s="20">
        <v>2</v>
      </c>
      <c r="Q16" s="109">
        <v>1</v>
      </c>
      <c r="R16" s="109"/>
      <c r="S16" s="109"/>
    </row>
    <row r="17" spans="1:19" s="34" customFormat="1" ht="16.5" thickBot="1">
      <c r="A17" s="29" t="s">
        <v>14</v>
      </c>
      <c r="B17" s="29" t="s">
        <v>21</v>
      </c>
      <c r="C17" s="170">
        <v>463</v>
      </c>
      <c r="D17" s="170">
        <v>456</v>
      </c>
      <c r="E17" s="50"/>
      <c r="F17" s="50">
        <v>395</v>
      </c>
      <c r="G17" s="50"/>
      <c r="H17" s="170">
        <v>406</v>
      </c>
      <c r="I17" s="50">
        <v>394</v>
      </c>
      <c r="J17" s="170">
        <v>403</v>
      </c>
      <c r="K17" s="41"/>
      <c r="L17" s="46">
        <f t="shared" si="0"/>
        <v>2517</v>
      </c>
      <c r="M17" s="43">
        <v>6</v>
      </c>
      <c r="N17" s="43">
        <v>2</v>
      </c>
      <c r="O17" s="46">
        <v>36</v>
      </c>
      <c r="P17" s="43">
        <v>2</v>
      </c>
      <c r="Q17" s="111">
        <v>1</v>
      </c>
      <c r="R17" s="111"/>
      <c r="S17" s="111"/>
    </row>
    <row r="18" spans="3:19" ht="16.5" thickTop="1">
      <c r="C18" s="6">
        <f aca="true" t="shared" si="1" ref="C18:K18">SUM(C3:C17)</f>
        <v>6409</v>
      </c>
      <c r="D18" s="6">
        <f>SUM(D3:D6)+SUM(D8:D17)</f>
        <v>5510</v>
      </c>
      <c r="E18" s="6">
        <f>SUM(E3:E4)+SUM(E10:E17)</f>
        <v>2009</v>
      </c>
      <c r="F18" s="6">
        <f t="shared" si="1"/>
        <v>4476</v>
      </c>
      <c r="G18" s="6">
        <f>SUM(G4:G6)+SUM(G10:G17)</f>
        <v>2861</v>
      </c>
      <c r="H18" s="6">
        <f>SUM(H4:H17)</f>
        <v>5136</v>
      </c>
      <c r="I18" s="6">
        <f t="shared" si="1"/>
        <v>5505</v>
      </c>
      <c r="J18" s="6">
        <f t="shared" si="1"/>
        <v>5462</v>
      </c>
      <c r="K18" s="6">
        <f t="shared" si="1"/>
        <v>0</v>
      </c>
      <c r="Q18" s="112">
        <f>SUM(Q3:Q17)</f>
        <v>10</v>
      </c>
      <c r="R18" s="112">
        <f>SUM(R3:R17)</f>
        <v>0</v>
      </c>
      <c r="S18" s="112">
        <f>SUM(S3:S17)</f>
        <v>5</v>
      </c>
    </row>
    <row r="19" spans="2:17" ht="15.75">
      <c r="B19" s="1" t="s">
        <v>190</v>
      </c>
      <c r="C19" s="6">
        <f>COUNT(C3:C17)</f>
        <v>14</v>
      </c>
      <c r="D19" s="6">
        <f>COUNT(D3:D6)+COUNT(D8:D17)</f>
        <v>12</v>
      </c>
      <c r="E19" s="6">
        <f>COUNT(E3:E4)+COUNT(E10:E17)</f>
        <v>5</v>
      </c>
      <c r="F19" s="6">
        <f>COUNT(F3:F17)</f>
        <v>11</v>
      </c>
      <c r="G19" s="6">
        <f>COUNT(G4:G6)+COUNT(G10:G17)</f>
        <v>7</v>
      </c>
      <c r="H19" s="6">
        <f>COUNT(H4:H17)</f>
        <v>12</v>
      </c>
      <c r="I19" s="6">
        <f>COUNT(I3:I17)</f>
        <v>13</v>
      </c>
      <c r="J19" s="6">
        <f>COUNT(J3:J17)</f>
        <v>13</v>
      </c>
      <c r="K19" s="6"/>
      <c r="Q19"/>
    </row>
    <row r="20" spans="2:20" ht="35.25" customHeight="1">
      <c r="B20" s="12" t="s">
        <v>129</v>
      </c>
      <c r="C20" s="17">
        <f aca="true" t="shared" si="2" ref="C20:J20">AVERAGE(C3:C17)</f>
        <v>457.7857142857143</v>
      </c>
      <c r="D20" s="17">
        <f>D18/D19</f>
        <v>459.1666666666667</v>
      </c>
      <c r="E20" s="17">
        <f>E18/E19</f>
        <v>401.8</v>
      </c>
      <c r="F20" s="17">
        <f t="shared" si="2"/>
        <v>406.90909090909093</v>
      </c>
      <c r="G20" s="17">
        <f>G18/G19</f>
        <v>408.7142857142857</v>
      </c>
      <c r="H20" s="17">
        <f>AVERAGE(H4:H17)</f>
        <v>428</v>
      </c>
      <c r="I20" s="17">
        <f t="shared" si="2"/>
        <v>423.46153846153845</v>
      </c>
      <c r="J20" s="17">
        <f t="shared" si="2"/>
        <v>420.15384615384613</v>
      </c>
      <c r="K20" s="17"/>
      <c r="L20" s="17"/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S20" s="106" t="s">
        <v>128</v>
      </c>
      <c r="T20" s="105" t="s">
        <v>247</v>
      </c>
    </row>
    <row r="21" spans="13:20" ht="15.75">
      <c r="M21" s="6">
        <f>SUM(L3:L17)</f>
        <v>38620</v>
      </c>
      <c r="N21" s="1">
        <f>SUM(M3:M17)</f>
        <v>67</v>
      </c>
      <c r="O21" s="1">
        <f>SUM(N3:N17)</f>
        <v>53</v>
      </c>
      <c r="P21" s="1">
        <f>SUM(O3:O17)</f>
        <v>411</v>
      </c>
      <c r="Q21" s="1">
        <f>SUM(P3:P17)</f>
        <v>20</v>
      </c>
      <c r="S21" s="2">
        <f>N21-O21</f>
        <v>14</v>
      </c>
      <c r="T21" s="2">
        <f>SUM(Q18:S18)</f>
        <v>15</v>
      </c>
    </row>
    <row r="22" spans="3:4" ht="15.75">
      <c r="C22" s="270" t="s">
        <v>40</v>
      </c>
      <c r="D22" s="270"/>
    </row>
    <row r="23" spans="3:14" ht="15.75">
      <c r="C23" s="268" t="s">
        <v>134</v>
      </c>
      <c r="D23" s="268"/>
      <c r="M23" s="1" t="s">
        <v>130</v>
      </c>
      <c r="N23" s="19">
        <f>M21/T21</f>
        <v>2574.6666666666665</v>
      </c>
    </row>
    <row r="24" spans="3:14" ht="15.75">
      <c r="C24" s="269" t="s">
        <v>135</v>
      </c>
      <c r="D24" s="269"/>
      <c r="M24" s="1" t="s">
        <v>260</v>
      </c>
      <c r="N24" s="6">
        <f>L4+L6+L8+L10+L12+L14+L17+L31+L33+L35+L37+L39+L41+L43+L44</f>
        <v>39062</v>
      </c>
    </row>
    <row r="25" spans="9:13" ht="15.75">
      <c r="I25" s="262" t="s">
        <v>154</v>
      </c>
      <c r="J25" s="262"/>
      <c r="K25" s="12" t="s">
        <v>155</v>
      </c>
      <c r="L25" s="262" t="s">
        <v>128</v>
      </c>
      <c r="M25" s="262"/>
    </row>
    <row r="26" spans="9:13" ht="15.75">
      <c r="I26" s="1">
        <f>N21+M45</f>
        <v>141</v>
      </c>
      <c r="J26" s="1">
        <f>O21+N45</f>
        <v>99</v>
      </c>
      <c r="K26" s="1">
        <f>Q21+P45</f>
        <v>42</v>
      </c>
      <c r="L26" s="267">
        <f>I26-J26</f>
        <v>42</v>
      </c>
      <c r="M26" s="267"/>
    </row>
    <row r="27" spans="1:6" ht="15.75">
      <c r="A27" s="73" t="s">
        <v>144</v>
      </c>
      <c r="B27" s="74"/>
      <c r="C27" s="74" t="s">
        <v>141</v>
      </c>
      <c r="D27" s="74" t="s">
        <v>145</v>
      </c>
      <c r="E27" s="266" t="s">
        <v>146</v>
      </c>
      <c r="F27" s="266"/>
    </row>
    <row r="28" spans="1:6" ht="15.75">
      <c r="A28" s="58"/>
      <c r="B28" s="56"/>
      <c r="C28" s="56"/>
      <c r="D28" s="56"/>
      <c r="E28" s="57"/>
      <c r="F28" s="56"/>
    </row>
    <row r="29" spans="2:19" ht="36.75" customHeight="1" thickBot="1">
      <c r="B29" s="3" t="s">
        <v>25</v>
      </c>
      <c r="C29" s="9" t="s">
        <v>37</v>
      </c>
      <c r="D29" s="9" t="s">
        <v>38</v>
      </c>
      <c r="E29" s="9" t="s">
        <v>39</v>
      </c>
      <c r="F29" s="9" t="s">
        <v>66</v>
      </c>
      <c r="G29" s="9" t="s">
        <v>67</v>
      </c>
      <c r="H29" s="9" t="s">
        <v>68</v>
      </c>
      <c r="I29" s="9" t="s">
        <v>98</v>
      </c>
      <c r="J29" s="9" t="s">
        <v>35</v>
      </c>
      <c r="K29" s="9" t="s">
        <v>203</v>
      </c>
      <c r="L29" s="3" t="s">
        <v>30</v>
      </c>
      <c r="M29" s="3" t="s">
        <v>24</v>
      </c>
      <c r="N29" s="3" t="s">
        <v>29</v>
      </c>
      <c r="O29" s="3" t="s">
        <v>31</v>
      </c>
      <c r="P29" s="11" t="s">
        <v>116</v>
      </c>
      <c r="Q29" s="2" t="s">
        <v>191</v>
      </c>
      <c r="R29" s="2" t="s">
        <v>192</v>
      </c>
      <c r="S29" s="2" t="s">
        <v>193</v>
      </c>
    </row>
    <row r="30" spans="1:19" s="148" customFormat="1" ht="15.75">
      <c r="A30" s="144" t="s">
        <v>221</v>
      </c>
      <c r="B30" s="144" t="s">
        <v>18</v>
      </c>
      <c r="C30" s="182">
        <v>460</v>
      </c>
      <c r="D30" s="182">
        <v>478</v>
      </c>
      <c r="E30" s="165"/>
      <c r="F30" s="165">
        <v>424</v>
      </c>
      <c r="G30" s="165"/>
      <c r="H30" s="165"/>
      <c r="I30" s="165">
        <v>424</v>
      </c>
      <c r="J30" s="165">
        <v>429</v>
      </c>
      <c r="K30" s="165">
        <v>421</v>
      </c>
      <c r="L30" s="146">
        <f>SUM(C30:K30)</f>
        <v>2636</v>
      </c>
      <c r="M30" s="144">
        <v>2</v>
      </c>
      <c r="N30" s="144">
        <v>6</v>
      </c>
      <c r="O30" s="144">
        <v>-1</v>
      </c>
      <c r="P30" s="144">
        <v>0</v>
      </c>
      <c r="S30" s="148">
        <v>1</v>
      </c>
    </row>
    <row r="31" spans="1:17" s="158" customFormat="1" ht="15.75">
      <c r="A31" s="154" t="s">
        <v>222</v>
      </c>
      <c r="B31" s="154" t="s">
        <v>16</v>
      </c>
      <c r="C31" s="181">
        <v>466</v>
      </c>
      <c r="D31" s="181">
        <v>460</v>
      </c>
      <c r="E31" s="163"/>
      <c r="F31" s="163">
        <v>425</v>
      </c>
      <c r="G31" s="163"/>
      <c r="H31" s="163"/>
      <c r="I31" s="181">
        <v>460</v>
      </c>
      <c r="J31" s="163">
        <v>421</v>
      </c>
      <c r="K31" s="163">
        <v>425</v>
      </c>
      <c r="L31" s="156">
        <f>SUM(C31:K31)</f>
        <v>2657</v>
      </c>
      <c r="M31" s="154">
        <v>5</v>
      </c>
      <c r="N31" s="154">
        <v>3</v>
      </c>
      <c r="O31" s="154">
        <v>14</v>
      </c>
      <c r="P31" s="154">
        <v>2</v>
      </c>
      <c r="Q31" s="158">
        <v>1</v>
      </c>
    </row>
    <row r="32" spans="1:17" s="148" customFormat="1" ht="15.75">
      <c r="A32" s="144" t="s">
        <v>156</v>
      </c>
      <c r="B32" s="144" t="s">
        <v>223</v>
      </c>
      <c r="C32" s="166"/>
      <c r="D32" s="182">
        <v>458</v>
      </c>
      <c r="E32" s="165"/>
      <c r="F32" s="165">
        <v>413</v>
      </c>
      <c r="G32" s="182">
        <v>418</v>
      </c>
      <c r="H32" s="165"/>
      <c r="I32" s="182">
        <v>424</v>
      </c>
      <c r="J32" s="182">
        <v>461</v>
      </c>
      <c r="K32" s="165">
        <v>410</v>
      </c>
      <c r="L32" s="146">
        <f>SUM(C32:K32)</f>
        <v>2584</v>
      </c>
      <c r="M32" s="144">
        <v>6</v>
      </c>
      <c r="N32" s="144">
        <v>2</v>
      </c>
      <c r="O32" s="144">
        <v>48</v>
      </c>
      <c r="P32" s="144">
        <v>2</v>
      </c>
      <c r="Q32" s="148">
        <v>1</v>
      </c>
    </row>
    <row r="33" spans="1:17" s="158" customFormat="1" ht="15.75">
      <c r="A33" s="154" t="s">
        <v>157</v>
      </c>
      <c r="B33" s="154" t="s">
        <v>22</v>
      </c>
      <c r="C33" s="181">
        <v>483</v>
      </c>
      <c r="D33" s="181">
        <v>441</v>
      </c>
      <c r="E33" s="163"/>
      <c r="F33" s="163"/>
      <c r="G33" s="163"/>
      <c r="H33" s="163">
        <v>395</v>
      </c>
      <c r="I33" s="181">
        <v>418</v>
      </c>
      <c r="J33" s="181">
        <v>416</v>
      </c>
      <c r="K33" s="181">
        <v>409</v>
      </c>
      <c r="L33" s="156">
        <f>SUM(C33:K33)</f>
        <v>2562</v>
      </c>
      <c r="M33" s="154">
        <v>7</v>
      </c>
      <c r="N33" s="154">
        <v>1</v>
      </c>
      <c r="O33" s="154">
        <f>L33-2291</f>
        <v>271</v>
      </c>
      <c r="P33" s="154">
        <v>2</v>
      </c>
      <c r="Q33" s="158">
        <v>1</v>
      </c>
    </row>
    <row r="34" spans="1:19" s="148" customFormat="1" ht="15.75">
      <c r="A34" s="144" t="s">
        <v>158</v>
      </c>
      <c r="B34" s="144" t="s">
        <v>15</v>
      </c>
      <c r="C34" s="182">
        <v>461</v>
      </c>
      <c r="D34" s="165">
        <v>443</v>
      </c>
      <c r="E34" s="165"/>
      <c r="F34" s="165">
        <v>432</v>
      </c>
      <c r="G34" s="165"/>
      <c r="H34" s="165"/>
      <c r="I34" s="165">
        <v>424</v>
      </c>
      <c r="J34" s="165">
        <v>426</v>
      </c>
      <c r="K34" s="182">
        <v>462</v>
      </c>
      <c r="L34" s="146">
        <f>SUM(B34:K34)</f>
        <v>2648</v>
      </c>
      <c r="M34" s="144">
        <v>2</v>
      </c>
      <c r="N34" s="144">
        <v>6</v>
      </c>
      <c r="O34" s="144">
        <v>-14</v>
      </c>
      <c r="P34" s="144">
        <v>0</v>
      </c>
      <c r="S34" s="148">
        <v>1</v>
      </c>
    </row>
    <row r="35" spans="1:18" s="158" customFormat="1" ht="15.75">
      <c r="A35" s="154" t="s">
        <v>159</v>
      </c>
      <c r="B35" s="154" t="s">
        <v>17</v>
      </c>
      <c r="C35" s="181">
        <v>453</v>
      </c>
      <c r="D35" s="163"/>
      <c r="E35" s="163"/>
      <c r="F35" s="163">
        <v>419</v>
      </c>
      <c r="G35" s="163">
        <v>388</v>
      </c>
      <c r="H35" s="163"/>
      <c r="I35" s="181">
        <v>444</v>
      </c>
      <c r="J35" s="163">
        <v>421</v>
      </c>
      <c r="K35" s="163">
        <v>395</v>
      </c>
      <c r="L35" s="156">
        <f aca="true" t="shared" si="3" ref="L35:L44">SUM(C35:K35)</f>
        <v>2520</v>
      </c>
      <c r="M35" s="154">
        <v>4</v>
      </c>
      <c r="N35" s="154">
        <v>4</v>
      </c>
      <c r="O35" s="154">
        <v>11</v>
      </c>
      <c r="P35" s="154">
        <v>1</v>
      </c>
      <c r="R35" s="158">
        <v>1</v>
      </c>
    </row>
    <row r="36" spans="1:17" s="148" customFormat="1" ht="15.75">
      <c r="A36" s="144" t="s">
        <v>160</v>
      </c>
      <c r="B36" s="144" t="s">
        <v>218</v>
      </c>
      <c r="C36" s="182">
        <v>459</v>
      </c>
      <c r="D36" s="182">
        <v>451</v>
      </c>
      <c r="E36" s="165"/>
      <c r="F36" s="165">
        <v>400</v>
      </c>
      <c r="G36" s="182">
        <v>438</v>
      </c>
      <c r="H36" s="182">
        <v>432</v>
      </c>
      <c r="I36" s="165"/>
      <c r="J36" s="182">
        <v>449</v>
      </c>
      <c r="K36" s="165"/>
      <c r="L36" s="146">
        <f t="shared" si="3"/>
        <v>2629</v>
      </c>
      <c r="M36" s="144">
        <v>7</v>
      </c>
      <c r="N36" s="144">
        <v>1</v>
      </c>
      <c r="O36" s="144">
        <v>228</v>
      </c>
      <c r="P36" s="144">
        <v>2</v>
      </c>
      <c r="Q36" s="148">
        <v>1</v>
      </c>
    </row>
    <row r="37" spans="1:18" s="158" customFormat="1" ht="15.75">
      <c r="A37" s="154" t="s">
        <v>161</v>
      </c>
      <c r="B37" s="154" t="s">
        <v>23</v>
      </c>
      <c r="C37" s="181">
        <v>478</v>
      </c>
      <c r="D37" s="181">
        <v>510</v>
      </c>
      <c r="E37" s="163"/>
      <c r="F37" s="163"/>
      <c r="G37" s="163">
        <v>406</v>
      </c>
      <c r="H37" s="163"/>
      <c r="I37" s="163">
        <v>432</v>
      </c>
      <c r="J37" s="163">
        <v>432</v>
      </c>
      <c r="K37" s="163">
        <v>426</v>
      </c>
      <c r="L37" s="156">
        <f t="shared" si="3"/>
        <v>2684</v>
      </c>
      <c r="M37" s="154">
        <v>4</v>
      </c>
      <c r="N37" s="154">
        <v>4</v>
      </c>
      <c r="O37" s="154">
        <f>L37-2529</f>
        <v>155</v>
      </c>
      <c r="P37" s="154">
        <v>1</v>
      </c>
      <c r="R37" s="158">
        <v>1</v>
      </c>
    </row>
    <row r="38" spans="1:17" s="148" customFormat="1" ht="15.75">
      <c r="A38" s="144" t="s">
        <v>162</v>
      </c>
      <c r="B38" s="144" t="s">
        <v>217</v>
      </c>
      <c r="C38" s="166"/>
      <c r="D38" s="182">
        <v>473</v>
      </c>
      <c r="E38" s="165"/>
      <c r="F38" s="165">
        <v>402</v>
      </c>
      <c r="G38" s="165">
        <v>398</v>
      </c>
      <c r="H38" s="165"/>
      <c r="I38" s="182">
        <v>451</v>
      </c>
      <c r="J38" s="182">
        <v>449</v>
      </c>
      <c r="K38" s="182">
        <v>446</v>
      </c>
      <c r="L38" s="146">
        <f t="shared" si="3"/>
        <v>2619</v>
      </c>
      <c r="M38" s="144">
        <v>6</v>
      </c>
      <c r="N38" s="144">
        <v>2</v>
      </c>
      <c r="O38" s="144">
        <v>74</v>
      </c>
      <c r="P38" s="144">
        <v>2</v>
      </c>
      <c r="Q38" s="148">
        <v>1</v>
      </c>
    </row>
    <row r="39" spans="1:17" s="158" customFormat="1" ht="15.75">
      <c r="A39" s="154" t="s">
        <v>163</v>
      </c>
      <c r="B39" s="154" t="s">
        <v>204</v>
      </c>
      <c r="C39" s="224">
        <v>458</v>
      </c>
      <c r="D39" s="224">
        <v>460</v>
      </c>
      <c r="E39" s="163"/>
      <c r="F39" s="163"/>
      <c r="G39" s="224">
        <v>427</v>
      </c>
      <c r="H39" s="163"/>
      <c r="I39" s="224">
        <v>439</v>
      </c>
      <c r="J39" s="163">
        <v>406</v>
      </c>
      <c r="K39" s="224">
        <v>429</v>
      </c>
      <c r="L39" s="156">
        <f t="shared" si="3"/>
        <v>2619</v>
      </c>
      <c r="M39" s="154">
        <v>7</v>
      </c>
      <c r="N39" s="154">
        <v>1</v>
      </c>
      <c r="O39" s="154">
        <v>218</v>
      </c>
      <c r="P39" s="154">
        <v>2</v>
      </c>
      <c r="Q39" s="158">
        <v>1</v>
      </c>
    </row>
    <row r="40" spans="1:19" s="148" customFormat="1" ht="15.75">
      <c r="A40" s="144" t="s">
        <v>164</v>
      </c>
      <c r="B40" s="144" t="s">
        <v>214</v>
      </c>
      <c r="C40" s="166"/>
      <c r="D40" s="225">
        <v>448</v>
      </c>
      <c r="E40" s="165"/>
      <c r="F40" s="165">
        <v>397</v>
      </c>
      <c r="G40" s="165">
        <v>379</v>
      </c>
      <c r="H40" s="165"/>
      <c r="I40" s="225">
        <v>432</v>
      </c>
      <c r="J40" s="165">
        <v>399</v>
      </c>
      <c r="K40" s="225">
        <v>423</v>
      </c>
      <c r="L40" s="146">
        <f t="shared" si="3"/>
        <v>2478</v>
      </c>
      <c r="M40" s="144">
        <v>3</v>
      </c>
      <c r="N40" s="144">
        <v>5</v>
      </c>
      <c r="O40" s="144">
        <v>-13</v>
      </c>
      <c r="P40" s="144">
        <v>0</v>
      </c>
      <c r="S40" s="148">
        <v>1</v>
      </c>
    </row>
    <row r="41" spans="1:17" s="158" customFormat="1" ht="15.75">
      <c r="A41" s="154" t="s">
        <v>165</v>
      </c>
      <c r="B41" s="162" t="s">
        <v>19</v>
      </c>
      <c r="C41" s="224">
        <v>478</v>
      </c>
      <c r="D41" s="224">
        <v>496</v>
      </c>
      <c r="E41" s="163"/>
      <c r="F41" s="163"/>
      <c r="G41" s="163"/>
      <c r="H41" s="163">
        <v>421</v>
      </c>
      <c r="I41" s="163">
        <v>428</v>
      </c>
      <c r="J41" s="163">
        <v>392</v>
      </c>
      <c r="K41" s="224">
        <v>443</v>
      </c>
      <c r="L41" s="156">
        <f t="shared" si="3"/>
        <v>2658</v>
      </c>
      <c r="M41" s="154">
        <v>5</v>
      </c>
      <c r="N41" s="154">
        <v>3</v>
      </c>
      <c r="O41" s="154">
        <f>L41-2585</f>
        <v>73</v>
      </c>
      <c r="P41" s="154">
        <v>2</v>
      </c>
      <c r="Q41" s="158">
        <v>1</v>
      </c>
    </row>
    <row r="42" spans="1:17" s="148" customFormat="1" ht="15.75">
      <c r="A42" s="144" t="s">
        <v>166</v>
      </c>
      <c r="B42" s="144" t="s">
        <v>21</v>
      </c>
      <c r="C42" s="225">
        <v>468</v>
      </c>
      <c r="D42" s="165"/>
      <c r="E42" s="165"/>
      <c r="F42" s="165">
        <v>379</v>
      </c>
      <c r="G42" s="225">
        <v>436</v>
      </c>
      <c r="H42" s="165">
        <v>403</v>
      </c>
      <c r="I42" s="225">
        <v>431</v>
      </c>
      <c r="J42" s="165"/>
      <c r="K42" s="165">
        <v>410</v>
      </c>
      <c r="L42" s="146">
        <f t="shared" si="3"/>
        <v>2527</v>
      </c>
      <c r="M42" s="144">
        <v>5</v>
      </c>
      <c r="N42" s="144">
        <v>3</v>
      </c>
      <c r="O42" s="144">
        <v>16</v>
      </c>
      <c r="P42" s="144">
        <v>2</v>
      </c>
      <c r="Q42" s="148">
        <v>1</v>
      </c>
    </row>
    <row r="43" spans="1:17" s="158" customFormat="1" ht="15.75">
      <c r="A43" s="154" t="s">
        <v>167</v>
      </c>
      <c r="B43" s="154" t="s">
        <v>26</v>
      </c>
      <c r="C43" s="224">
        <v>459</v>
      </c>
      <c r="D43" s="224">
        <v>468</v>
      </c>
      <c r="E43" s="163"/>
      <c r="F43" s="224">
        <v>451</v>
      </c>
      <c r="G43" s="163"/>
      <c r="H43" s="163"/>
      <c r="I43" s="224">
        <v>441</v>
      </c>
      <c r="J43" s="163">
        <v>429</v>
      </c>
      <c r="K43" s="163">
        <v>437</v>
      </c>
      <c r="L43" s="156">
        <f t="shared" si="3"/>
        <v>2685</v>
      </c>
      <c r="M43" s="154">
        <v>6</v>
      </c>
      <c r="N43" s="154">
        <v>2</v>
      </c>
      <c r="O43" s="154">
        <f>L43-2623</f>
        <v>62</v>
      </c>
      <c r="P43" s="154">
        <v>2</v>
      </c>
      <c r="Q43" s="158">
        <v>1</v>
      </c>
    </row>
    <row r="44" spans="1:19" s="158" customFormat="1" ht="16.5" thickBot="1">
      <c r="A44" s="154" t="s">
        <v>168</v>
      </c>
      <c r="B44" s="154" t="s">
        <v>20</v>
      </c>
      <c r="C44" s="242">
        <v>459</v>
      </c>
      <c r="D44" s="242">
        <v>527</v>
      </c>
      <c r="E44" s="164"/>
      <c r="F44" s="164"/>
      <c r="G44" s="164"/>
      <c r="H44" s="164">
        <v>393</v>
      </c>
      <c r="I44" s="242">
        <v>459</v>
      </c>
      <c r="J44" s="164">
        <v>431</v>
      </c>
      <c r="K44" s="164">
        <v>437</v>
      </c>
      <c r="L44" s="161">
        <f t="shared" si="3"/>
        <v>2706</v>
      </c>
      <c r="M44" s="160">
        <v>5</v>
      </c>
      <c r="N44" s="160">
        <v>3</v>
      </c>
      <c r="O44" s="160">
        <f>L44-2688</f>
        <v>18</v>
      </c>
      <c r="P44" s="160">
        <v>2</v>
      </c>
      <c r="Q44" s="179">
        <v>1</v>
      </c>
      <c r="R44" s="179"/>
      <c r="S44" s="179"/>
    </row>
    <row r="45" spans="3:19" ht="16.5" thickTop="1">
      <c r="C45" s="7">
        <f>SUM(C30:C44)</f>
        <v>5582</v>
      </c>
      <c r="D45" s="7">
        <f aca="true" t="shared" si="4" ref="D45:K45">SUM(D30:D44)</f>
        <v>6113</v>
      </c>
      <c r="E45" s="7">
        <f t="shared" si="4"/>
        <v>0</v>
      </c>
      <c r="F45" s="7">
        <f t="shared" si="4"/>
        <v>4142</v>
      </c>
      <c r="G45" s="7">
        <f t="shared" si="4"/>
        <v>3290</v>
      </c>
      <c r="H45" s="7">
        <f t="shared" si="4"/>
        <v>2044</v>
      </c>
      <c r="I45" s="7">
        <f t="shared" si="4"/>
        <v>6107</v>
      </c>
      <c r="J45" s="7">
        <f t="shared" si="4"/>
        <v>5961</v>
      </c>
      <c r="K45" s="7">
        <f t="shared" si="4"/>
        <v>5973</v>
      </c>
      <c r="M45" s="1">
        <f>SUM(M30:M44)</f>
        <v>74</v>
      </c>
      <c r="N45" s="1">
        <f>SUM(N30:N44)</f>
        <v>46</v>
      </c>
      <c r="O45" s="1">
        <f>SUM(O30:O44)</f>
        <v>1160</v>
      </c>
      <c r="P45" s="1">
        <f>SUM(P30:P44)</f>
        <v>22</v>
      </c>
      <c r="Q45" s="1">
        <f>SUM(Q30:Q44)+Q18</f>
        <v>20</v>
      </c>
      <c r="R45" s="1">
        <f>SUM(R30:R44)+R18</f>
        <v>2</v>
      </c>
      <c r="S45" s="1">
        <f>SUM(S30:S44)+S18</f>
        <v>8</v>
      </c>
    </row>
    <row r="46" spans="2:11" ht="31.5">
      <c r="B46" s="83" t="s">
        <v>277</v>
      </c>
      <c r="C46" s="1">
        <f>COUNT(C30:C44)</f>
        <v>12</v>
      </c>
      <c r="D46" s="1">
        <f aca="true" t="shared" si="5" ref="D46:K46">COUNT(D30:D44)</f>
        <v>13</v>
      </c>
      <c r="E46" s="1">
        <f t="shared" si="5"/>
        <v>0</v>
      </c>
      <c r="F46" s="1">
        <f t="shared" si="5"/>
        <v>10</v>
      </c>
      <c r="G46" s="1">
        <f t="shared" si="5"/>
        <v>8</v>
      </c>
      <c r="H46" s="1">
        <f t="shared" si="5"/>
        <v>5</v>
      </c>
      <c r="I46" s="1">
        <f t="shared" si="5"/>
        <v>14</v>
      </c>
      <c r="J46" s="1">
        <f t="shared" si="5"/>
        <v>14</v>
      </c>
      <c r="K46" s="1">
        <f t="shared" si="5"/>
        <v>14</v>
      </c>
    </row>
    <row r="47" spans="2:20" ht="31.5">
      <c r="B47" s="11" t="s">
        <v>278</v>
      </c>
      <c r="C47" s="17">
        <f>C45/C46</f>
        <v>465.1666666666667</v>
      </c>
      <c r="D47" s="17">
        <f aca="true" t="shared" si="6" ref="D47:K47">D45/D46</f>
        <v>470.2307692307692</v>
      </c>
      <c r="E47" s="17"/>
      <c r="F47" s="17">
        <f t="shared" si="6"/>
        <v>414.2</v>
      </c>
      <c r="G47" s="17">
        <f>G45/G46</f>
        <v>411.25</v>
      </c>
      <c r="H47" s="17">
        <f>H45/H46</f>
        <v>408.8</v>
      </c>
      <c r="I47" s="17">
        <f t="shared" si="6"/>
        <v>436.2142857142857</v>
      </c>
      <c r="J47" s="17">
        <f t="shared" si="6"/>
        <v>425.7857142857143</v>
      </c>
      <c r="K47" s="17">
        <f t="shared" si="6"/>
        <v>426.64285714285717</v>
      </c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3:20" ht="15.75">
      <c r="M48" s="6">
        <f>SUM(L30:L44)+M21</f>
        <v>77832</v>
      </c>
      <c r="N48" s="6">
        <f>SUM(M30:M44)+N21</f>
        <v>141</v>
      </c>
      <c r="O48" s="6">
        <f>SUM(N30:N44)+O21</f>
        <v>99</v>
      </c>
      <c r="P48" s="6">
        <f>SUM(O30:O44)+P21</f>
        <v>1571</v>
      </c>
      <c r="Q48" s="6">
        <f>SUM(P30:P44)+Q21</f>
        <v>42</v>
      </c>
      <c r="S48" s="2">
        <f>N48-O48</f>
        <v>42</v>
      </c>
      <c r="T48" s="2">
        <f>SUM(Q45:S45)</f>
        <v>30</v>
      </c>
    </row>
    <row r="50" spans="13:14" ht="15.75">
      <c r="M50" s="1" t="s">
        <v>130</v>
      </c>
      <c r="N50" s="19">
        <f>M48/T48</f>
        <v>2594.4</v>
      </c>
    </row>
  </sheetData>
  <sheetProtection/>
  <mergeCells count="11">
    <mergeCell ref="C1:L1"/>
    <mergeCell ref="N1:O1"/>
    <mergeCell ref="C22:D22"/>
    <mergeCell ref="N20:O20"/>
    <mergeCell ref="C23:D23"/>
    <mergeCell ref="N47:O47"/>
    <mergeCell ref="E27:F27"/>
    <mergeCell ref="I25:J25"/>
    <mergeCell ref="L25:M25"/>
    <mergeCell ref="L26:M26"/>
    <mergeCell ref="C24:D24"/>
  </mergeCells>
  <printOptions/>
  <pageMargins left="0.75" right="0.75" top="1" bottom="1" header="0.5" footer="0.5"/>
  <pageSetup horizontalDpi="600" verticalDpi="600" orientation="portrait" paperSize="9" r:id="rId1"/>
  <ignoredErrors>
    <ignoredError sqref="E20:F20" formula="1"/>
    <ignoredError sqref="H18:H20 E18:E19" formula="1" formulaRange="1"/>
    <ignoredError sqref="G18:G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U50"/>
  <sheetViews>
    <sheetView zoomScale="90" zoomScaleNormal="90" zoomScalePageLayoutView="0" workbookViewId="0" topLeftCell="B25">
      <selection activeCell="G44" sqref="G44"/>
    </sheetView>
  </sheetViews>
  <sheetFormatPr defaultColWidth="9.00390625" defaultRowHeight="12.75"/>
  <cols>
    <col min="1" max="1" width="11.25390625" style="1" bestFit="1" customWidth="1"/>
    <col min="2" max="2" width="15.625" style="1" customWidth="1"/>
    <col min="3" max="3" width="11.125" style="1" customWidth="1"/>
    <col min="4" max="4" width="10.00390625" style="1" customWidth="1"/>
    <col min="5" max="10" width="9.125" style="1" customWidth="1"/>
    <col min="11" max="11" width="11.25390625" style="1" customWidth="1"/>
    <col min="12" max="12" width="8.625" style="1" customWidth="1"/>
    <col min="13" max="13" width="9.125" style="1" customWidth="1"/>
    <col min="14" max="14" width="16.253906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3.25390625" style="0" customWidth="1"/>
    <col min="21" max="21" width="11.125" style="0" customWidth="1"/>
  </cols>
  <sheetData>
    <row r="1" spans="3:21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O1" s="265" t="s">
        <v>28</v>
      </c>
      <c r="P1" s="265"/>
      <c r="S1" s="2"/>
      <c r="T1" s="2"/>
      <c r="U1" s="2"/>
    </row>
    <row r="2" spans="2:21" ht="32.25" thickBot="1">
      <c r="B2" s="3" t="s">
        <v>25</v>
      </c>
      <c r="C2" s="9" t="s">
        <v>136</v>
      </c>
      <c r="D2" s="9" t="s">
        <v>83</v>
      </c>
      <c r="E2" s="9" t="s">
        <v>84</v>
      </c>
      <c r="F2" s="9" t="s">
        <v>85</v>
      </c>
      <c r="G2" s="9" t="s">
        <v>86</v>
      </c>
      <c r="H2" s="9" t="s">
        <v>87</v>
      </c>
      <c r="I2" s="13" t="s">
        <v>139</v>
      </c>
      <c r="J2" s="9" t="s">
        <v>140</v>
      </c>
      <c r="K2" s="9" t="s">
        <v>113</v>
      </c>
      <c r="L2" s="83" t="s">
        <v>246</v>
      </c>
      <c r="N2" s="3" t="s">
        <v>30</v>
      </c>
      <c r="O2" s="3" t="s">
        <v>19</v>
      </c>
      <c r="P2" s="3" t="s">
        <v>29</v>
      </c>
      <c r="Q2" s="3" t="s">
        <v>31</v>
      </c>
      <c r="R2" s="11" t="s">
        <v>116</v>
      </c>
      <c r="S2" s="2" t="s">
        <v>191</v>
      </c>
      <c r="T2" s="2" t="s">
        <v>192</v>
      </c>
      <c r="U2" s="2" t="s">
        <v>193</v>
      </c>
    </row>
    <row r="3" spans="1:21" s="34" customFormat="1" ht="15.75">
      <c r="A3" s="29" t="s">
        <v>0</v>
      </c>
      <c r="B3" s="29" t="s">
        <v>24</v>
      </c>
      <c r="C3" s="48"/>
      <c r="D3" s="93">
        <v>422</v>
      </c>
      <c r="E3" s="93">
        <v>420</v>
      </c>
      <c r="F3" s="48">
        <v>413</v>
      </c>
      <c r="G3" s="48">
        <v>398</v>
      </c>
      <c r="H3" s="93">
        <v>436</v>
      </c>
      <c r="I3" s="48"/>
      <c r="J3" s="48"/>
      <c r="K3" s="48">
        <v>390</v>
      </c>
      <c r="L3" s="52"/>
      <c r="M3" s="44"/>
      <c r="N3" s="32">
        <f>SUM(C3:L3)</f>
        <v>2479</v>
      </c>
      <c r="O3" s="29">
        <v>3</v>
      </c>
      <c r="P3" s="29">
        <v>5</v>
      </c>
      <c r="Q3" s="32">
        <v>-110</v>
      </c>
      <c r="R3" s="29">
        <v>0</v>
      </c>
      <c r="S3" s="33"/>
      <c r="T3" s="33"/>
      <c r="U3" s="33">
        <v>1</v>
      </c>
    </row>
    <row r="4" spans="1:21" s="25" customFormat="1" ht="15.75">
      <c r="A4" s="20" t="s">
        <v>1</v>
      </c>
      <c r="B4" s="20" t="s">
        <v>21</v>
      </c>
      <c r="C4" s="47"/>
      <c r="D4" s="47">
        <v>386</v>
      </c>
      <c r="E4" s="47">
        <v>396</v>
      </c>
      <c r="F4" s="92">
        <v>421</v>
      </c>
      <c r="G4" s="92">
        <v>421</v>
      </c>
      <c r="H4" s="47">
        <v>376</v>
      </c>
      <c r="I4" s="47"/>
      <c r="J4" s="47">
        <v>393</v>
      </c>
      <c r="K4" s="47"/>
      <c r="L4" s="47"/>
      <c r="M4" s="39"/>
      <c r="N4" s="23">
        <f aca="true" t="shared" si="0" ref="N4:N17">SUM(C4:M4)</f>
        <v>2393</v>
      </c>
      <c r="O4" s="20">
        <v>2</v>
      </c>
      <c r="P4" s="20">
        <v>6</v>
      </c>
      <c r="Q4" s="20">
        <v>-94</v>
      </c>
      <c r="R4" s="20">
        <v>0</v>
      </c>
      <c r="S4" s="24"/>
      <c r="T4" s="24"/>
      <c r="U4" s="24">
        <v>1</v>
      </c>
    </row>
    <row r="5" spans="1:21" s="34" customFormat="1" ht="15.75">
      <c r="A5" s="29" t="s">
        <v>2</v>
      </c>
      <c r="B5" s="29" t="s">
        <v>26</v>
      </c>
      <c r="C5" s="48"/>
      <c r="D5" s="48">
        <v>411</v>
      </c>
      <c r="E5" s="48">
        <v>405</v>
      </c>
      <c r="F5" s="48">
        <v>411</v>
      </c>
      <c r="G5" s="93">
        <v>453</v>
      </c>
      <c r="H5" s="93">
        <v>444</v>
      </c>
      <c r="I5" s="48"/>
      <c r="J5" s="48"/>
      <c r="K5" s="48">
        <v>378</v>
      </c>
      <c r="L5" s="48"/>
      <c r="M5" s="44"/>
      <c r="N5" s="32">
        <f t="shared" si="0"/>
        <v>2502</v>
      </c>
      <c r="O5" s="29">
        <v>2</v>
      </c>
      <c r="P5" s="29">
        <v>6</v>
      </c>
      <c r="Q5" s="32">
        <v>-154</v>
      </c>
      <c r="R5" s="29">
        <v>0</v>
      </c>
      <c r="S5" s="33"/>
      <c r="T5" s="33"/>
      <c r="U5" s="33">
        <v>1</v>
      </c>
    </row>
    <row r="6" spans="1:21" s="34" customFormat="1" ht="15.75">
      <c r="A6" s="29" t="s">
        <v>3</v>
      </c>
      <c r="B6" s="29" t="s">
        <v>214</v>
      </c>
      <c r="C6" s="48"/>
      <c r="D6" s="93">
        <v>433</v>
      </c>
      <c r="E6" s="48">
        <v>390</v>
      </c>
      <c r="F6" s="48">
        <v>421</v>
      </c>
      <c r="G6" s="93">
        <v>465</v>
      </c>
      <c r="H6" s="48">
        <v>368</v>
      </c>
      <c r="I6" s="48"/>
      <c r="J6" s="48"/>
      <c r="K6" s="48"/>
      <c r="L6" s="48">
        <v>413</v>
      </c>
      <c r="M6" s="44"/>
      <c r="N6" s="32">
        <f t="shared" si="0"/>
        <v>2490</v>
      </c>
      <c r="O6" s="29">
        <v>2</v>
      </c>
      <c r="P6" s="29">
        <v>6</v>
      </c>
      <c r="Q6" s="32">
        <f>N6-2569</f>
        <v>-79</v>
      </c>
      <c r="R6" s="29">
        <v>0</v>
      </c>
      <c r="S6" s="33"/>
      <c r="T6" s="33"/>
      <c r="U6" s="33">
        <v>1</v>
      </c>
    </row>
    <row r="7" spans="1:21" s="25" customFormat="1" ht="15.75">
      <c r="A7" s="20" t="s">
        <v>4</v>
      </c>
      <c r="B7" s="20" t="s">
        <v>204</v>
      </c>
      <c r="C7" s="47"/>
      <c r="D7" s="92">
        <v>437</v>
      </c>
      <c r="E7" s="92">
        <v>440</v>
      </c>
      <c r="F7" s="47">
        <v>403</v>
      </c>
      <c r="G7" s="47">
        <v>404</v>
      </c>
      <c r="H7" s="92">
        <v>411</v>
      </c>
      <c r="I7" s="47"/>
      <c r="J7" s="47"/>
      <c r="K7" s="47"/>
      <c r="L7" s="92">
        <v>409</v>
      </c>
      <c r="M7" s="39"/>
      <c r="N7" s="23">
        <f t="shared" si="0"/>
        <v>2504</v>
      </c>
      <c r="O7" s="20">
        <v>6</v>
      </c>
      <c r="P7" s="20">
        <v>2</v>
      </c>
      <c r="Q7" s="23">
        <v>96</v>
      </c>
      <c r="R7" s="20">
        <v>2</v>
      </c>
      <c r="S7" s="24">
        <v>1</v>
      </c>
      <c r="T7" s="24"/>
      <c r="U7" s="24"/>
    </row>
    <row r="8" spans="1:21" s="34" customFormat="1" ht="15.75">
      <c r="A8" s="29" t="s">
        <v>5</v>
      </c>
      <c r="B8" s="29" t="s">
        <v>217</v>
      </c>
      <c r="C8" s="48"/>
      <c r="D8" s="48">
        <v>379</v>
      </c>
      <c r="E8" s="93">
        <v>437</v>
      </c>
      <c r="F8" s="48">
        <v>382</v>
      </c>
      <c r="G8" s="93">
        <v>456</v>
      </c>
      <c r="H8" s="48">
        <v>405</v>
      </c>
      <c r="I8" s="48"/>
      <c r="J8" s="48"/>
      <c r="K8" s="48"/>
      <c r="L8" s="48">
        <v>409</v>
      </c>
      <c r="M8" s="44"/>
      <c r="N8" s="32">
        <f t="shared" si="0"/>
        <v>2468</v>
      </c>
      <c r="O8" s="29">
        <v>2</v>
      </c>
      <c r="P8" s="29">
        <v>6</v>
      </c>
      <c r="Q8" s="32">
        <f>N8-2532</f>
        <v>-64</v>
      </c>
      <c r="R8" s="29">
        <v>0</v>
      </c>
      <c r="S8" s="33"/>
      <c r="T8" s="33"/>
      <c r="U8" s="33">
        <v>1</v>
      </c>
    </row>
    <row r="9" spans="1:21" s="25" customFormat="1" ht="15.75">
      <c r="A9" s="20" t="s">
        <v>6</v>
      </c>
      <c r="B9" s="20" t="s">
        <v>23</v>
      </c>
      <c r="C9" s="47"/>
      <c r="D9" s="47">
        <v>419</v>
      </c>
      <c r="E9" s="47">
        <v>370</v>
      </c>
      <c r="F9" s="47"/>
      <c r="G9" s="92">
        <v>434</v>
      </c>
      <c r="H9" s="47">
        <v>407</v>
      </c>
      <c r="I9" s="47"/>
      <c r="J9" s="47"/>
      <c r="K9" s="92">
        <v>442</v>
      </c>
      <c r="L9" s="47">
        <v>426</v>
      </c>
      <c r="M9" s="39"/>
      <c r="N9" s="23">
        <f t="shared" si="0"/>
        <v>2498</v>
      </c>
      <c r="O9" s="20">
        <v>2</v>
      </c>
      <c r="P9" s="20">
        <v>6</v>
      </c>
      <c r="Q9" s="20">
        <v>-113</v>
      </c>
      <c r="R9" s="20">
        <v>0</v>
      </c>
      <c r="S9" s="24"/>
      <c r="T9" s="24"/>
      <c r="U9" s="24">
        <v>1</v>
      </c>
    </row>
    <row r="10" spans="1:21" s="34" customFormat="1" ht="15.75">
      <c r="A10" s="29" t="s">
        <v>7</v>
      </c>
      <c r="B10" s="29" t="s">
        <v>218</v>
      </c>
      <c r="C10" s="48"/>
      <c r="D10" s="48">
        <v>386</v>
      </c>
      <c r="E10" s="48"/>
      <c r="F10" s="93">
        <v>394</v>
      </c>
      <c r="G10" s="48"/>
      <c r="H10" s="48">
        <v>375</v>
      </c>
      <c r="I10" s="48"/>
      <c r="J10" s="93">
        <v>406</v>
      </c>
      <c r="K10" s="93">
        <v>407</v>
      </c>
      <c r="L10" s="48">
        <v>362</v>
      </c>
      <c r="M10" s="44"/>
      <c r="N10" s="32">
        <f t="shared" si="0"/>
        <v>2330</v>
      </c>
      <c r="O10" s="29">
        <v>3</v>
      </c>
      <c r="P10" s="29">
        <v>5</v>
      </c>
      <c r="Q10" s="32">
        <v>-17</v>
      </c>
      <c r="R10" s="29">
        <v>0</v>
      </c>
      <c r="S10" s="33"/>
      <c r="T10" s="33"/>
      <c r="U10" s="33">
        <v>1</v>
      </c>
    </row>
    <row r="11" spans="1:21" s="25" customFormat="1" ht="15.75">
      <c r="A11" s="20" t="s">
        <v>8</v>
      </c>
      <c r="B11" s="20" t="s">
        <v>17</v>
      </c>
      <c r="C11" s="47"/>
      <c r="D11" s="92">
        <v>414</v>
      </c>
      <c r="E11" s="47">
        <v>372</v>
      </c>
      <c r="F11" s="47"/>
      <c r="G11" s="47"/>
      <c r="H11" s="47">
        <v>410</v>
      </c>
      <c r="I11" s="47"/>
      <c r="J11" s="92">
        <v>436</v>
      </c>
      <c r="K11" s="47">
        <v>409</v>
      </c>
      <c r="L11" s="47">
        <v>393</v>
      </c>
      <c r="M11" s="39"/>
      <c r="N11" s="23">
        <f t="shared" si="0"/>
        <v>2434</v>
      </c>
      <c r="O11" s="20">
        <v>2</v>
      </c>
      <c r="P11" s="20">
        <v>6</v>
      </c>
      <c r="Q11" s="20">
        <v>-123</v>
      </c>
      <c r="R11" s="20">
        <v>0</v>
      </c>
      <c r="S11" s="24"/>
      <c r="T11" s="24"/>
      <c r="U11" s="24">
        <v>1</v>
      </c>
    </row>
    <row r="12" spans="1:21" s="34" customFormat="1" ht="15.75">
      <c r="A12" s="29" t="s">
        <v>9</v>
      </c>
      <c r="B12" s="29" t="s">
        <v>15</v>
      </c>
      <c r="C12" s="48"/>
      <c r="D12" s="48">
        <v>374</v>
      </c>
      <c r="E12" s="93">
        <v>422</v>
      </c>
      <c r="F12" s="48">
        <v>416</v>
      </c>
      <c r="G12" s="48"/>
      <c r="H12" s="48"/>
      <c r="I12" s="48"/>
      <c r="J12" s="93">
        <v>424</v>
      </c>
      <c r="K12" s="93">
        <v>423</v>
      </c>
      <c r="L12" s="48">
        <v>400</v>
      </c>
      <c r="M12" s="44"/>
      <c r="N12" s="32">
        <f t="shared" si="0"/>
        <v>2459</v>
      </c>
      <c r="O12" s="29">
        <v>3</v>
      </c>
      <c r="P12" s="29">
        <v>5</v>
      </c>
      <c r="Q12" s="32">
        <f>N12-2535</f>
        <v>-76</v>
      </c>
      <c r="R12" s="29">
        <v>0</v>
      </c>
      <c r="S12" s="33"/>
      <c r="T12" s="33"/>
      <c r="U12" s="33">
        <v>1</v>
      </c>
    </row>
    <row r="13" spans="1:21" s="25" customFormat="1" ht="15.75">
      <c r="A13" s="20" t="s">
        <v>10</v>
      </c>
      <c r="B13" s="20" t="s">
        <v>22</v>
      </c>
      <c r="C13" s="47"/>
      <c r="D13" s="47">
        <v>415</v>
      </c>
      <c r="E13" s="93">
        <v>420</v>
      </c>
      <c r="F13" s="47">
        <v>406</v>
      </c>
      <c r="G13" s="47"/>
      <c r="H13" s="93">
        <v>417</v>
      </c>
      <c r="I13" s="47"/>
      <c r="J13" s="47"/>
      <c r="K13" s="93">
        <v>453</v>
      </c>
      <c r="L13" s="93">
        <v>424</v>
      </c>
      <c r="M13" s="39"/>
      <c r="N13" s="23">
        <f t="shared" si="0"/>
        <v>2535</v>
      </c>
      <c r="O13" s="23">
        <v>6</v>
      </c>
      <c r="P13" s="20">
        <v>2</v>
      </c>
      <c r="Q13" s="20">
        <v>130</v>
      </c>
      <c r="R13" s="20">
        <v>2</v>
      </c>
      <c r="S13" s="24">
        <v>1</v>
      </c>
      <c r="T13" s="24"/>
      <c r="U13" s="24"/>
    </row>
    <row r="14" spans="1:21" s="34" customFormat="1" ht="15.75">
      <c r="A14" s="29" t="s">
        <v>11</v>
      </c>
      <c r="B14" s="29" t="s">
        <v>223</v>
      </c>
      <c r="C14" s="48"/>
      <c r="D14" s="48">
        <v>389</v>
      </c>
      <c r="E14" s="48">
        <v>380</v>
      </c>
      <c r="F14" s="48">
        <v>406</v>
      </c>
      <c r="G14" s="48"/>
      <c r="H14" s="48">
        <v>166</v>
      </c>
      <c r="I14" s="48"/>
      <c r="J14" s="93">
        <v>426</v>
      </c>
      <c r="K14" s="93">
        <v>427</v>
      </c>
      <c r="L14" s="48">
        <v>211</v>
      </c>
      <c r="M14" s="44"/>
      <c r="N14" s="32">
        <f t="shared" si="0"/>
        <v>2405</v>
      </c>
      <c r="O14" s="29">
        <v>2</v>
      </c>
      <c r="P14" s="29">
        <v>6</v>
      </c>
      <c r="Q14" s="29">
        <v>-121</v>
      </c>
      <c r="R14" s="29">
        <v>0</v>
      </c>
      <c r="S14" s="33"/>
      <c r="T14" s="33"/>
      <c r="U14" s="33">
        <v>1</v>
      </c>
    </row>
    <row r="15" spans="1:21" s="25" customFormat="1" ht="15.75">
      <c r="A15" s="20" t="s">
        <v>12</v>
      </c>
      <c r="B15" s="20" t="s">
        <v>16</v>
      </c>
      <c r="C15" s="49"/>
      <c r="D15" s="47">
        <v>414</v>
      </c>
      <c r="E15" s="47">
        <v>415</v>
      </c>
      <c r="F15" s="49"/>
      <c r="G15" s="49">
        <v>417</v>
      </c>
      <c r="H15" s="49"/>
      <c r="I15" s="49"/>
      <c r="J15" s="100">
        <v>437</v>
      </c>
      <c r="K15" s="100">
        <v>443</v>
      </c>
      <c r="L15" s="49">
        <v>363</v>
      </c>
      <c r="M15" s="39"/>
      <c r="N15" s="23">
        <f t="shared" si="0"/>
        <v>2489</v>
      </c>
      <c r="O15" s="20">
        <v>2</v>
      </c>
      <c r="P15" s="20">
        <v>6</v>
      </c>
      <c r="Q15" s="20">
        <v>-164</v>
      </c>
      <c r="R15" s="20">
        <v>0</v>
      </c>
      <c r="S15" s="24"/>
      <c r="T15" s="24"/>
      <c r="U15" s="24">
        <v>1</v>
      </c>
    </row>
    <row r="16" spans="1:21" s="34" customFormat="1" ht="15.75">
      <c r="A16" s="29" t="s">
        <v>13</v>
      </c>
      <c r="B16" s="29" t="s">
        <v>18</v>
      </c>
      <c r="C16" s="52"/>
      <c r="D16" s="48"/>
      <c r="E16" s="93">
        <v>438</v>
      </c>
      <c r="F16" s="52">
        <v>422</v>
      </c>
      <c r="G16" s="97">
        <v>465</v>
      </c>
      <c r="H16" s="52">
        <v>399</v>
      </c>
      <c r="I16" s="52"/>
      <c r="J16" s="97">
        <v>433</v>
      </c>
      <c r="K16" s="97">
        <v>435</v>
      </c>
      <c r="L16" s="52"/>
      <c r="M16" s="44"/>
      <c r="N16" s="32">
        <f t="shared" si="0"/>
        <v>2592</v>
      </c>
      <c r="O16" s="29">
        <v>6</v>
      </c>
      <c r="P16" s="29">
        <v>2</v>
      </c>
      <c r="Q16" s="29">
        <v>52</v>
      </c>
      <c r="R16" s="29">
        <v>2</v>
      </c>
      <c r="S16" s="33">
        <v>1</v>
      </c>
      <c r="T16" s="33"/>
      <c r="U16" s="33"/>
    </row>
    <row r="17" spans="1:21" s="25" customFormat="1" ht="16.5" thickBot="1">
      <c r="A17" s="20" t="s">
        <v>14</v>
      </c>
      <c r="B17" s="20" t="s">
        <v>20</v>
      </c>
      <c r="C17" s="53"/>
      <c r="D17" s="53">
        <v>429</v>
      </c>
      <c r="E17" s="173">
        <v>437</v>
      </c>
      <c r="F17" s="173">
        <v>436</v>
      </c>
      <c r="G17" s="173">
        <v>458</v>
      </c>
      <c r="H17" s="53">
        <v>410</v>
      </c>
      <c r="I17" s="53"/>
      <c r="J17" s="53"/>
      <c r="K17" s="53">
        <v>386</v>
      </c>
      <c r="L17" s="53"/>
      <c r="M17" s="54"/>
      <c r="N17" s="27">
        <f t="shared" si="0"/>
        <v>2556</v>
      </c>
      <c r="O17" s="28">
        <v>5</v>
      </c>
      <c r="P17" s="28">
        <v>3</v>
      </c>
      <c r="Q17" s="28">
        <v>67</v>
      </c>
      <c r="R17" s="28">
        <v>2</v>
      </c>
      <c r="S17" s="113">
        <v>1</v>
      </c>
      <c r="T17" s="113"/>
      <c r="U17" s="113"/>
    </row>
    <row r="18" spans="3:21" ht="16.5" thickTop="1">
      <c r="C18" s="6">
        <f aca="true" t="shared" si="1" ref="C18:M18">SUM(C3:C17)</f>
        <v>0</v>
      </c>
      <c r="D18" s="6">
        <f t="shared" si="1"/>
        <v>5708</v>
      </c>
      <c r="E18" s="6">
        <f t="shared" si="1"/>
        <v>5742</v>
      </c>
      <c r="F18" s="6">
        <f t="shared" si="1"/>
        <v>4931</v>
      </c>
      <c r="G18" s="6">
        <f t="shared" si="1"/>
        <v>4371</v>
      </c>
      <c r="H18" s="6">
        <f>SUM(H3:H13)+SUM(H15:H17)</f>
        <v>4858</v>
      </c>
      <c r="I18" s="6">
        <f t="shared" si="1"/>
        <v>0</v>
      </c>
      <c r="J18" s="6">
        <f t="shared" si="1"/>
        <v>2955</v>
      </c>
      <c r="K18" s="6">
        <f t="shared" si="1"/>
        <v>4593</v>
      </c>
      <c r="L18" s="6">
        <f>SUM(L3:L13)+SUM(L15:L17)</f>
        <v>3599</v>
      </c>
      <c r="M18" s="6">
        <f t="shared" si="1"/>
        <v>0</v>
      </c>
      <c r="S18" s="2">
        <f>SUM(S3:S17)</f>
        <v>4</v>
      </c>
      <c r="T18" s="2">
        <f>SUM(T3:T17)</f>
        <v>0</v>
      </c>
      <c r="U18" s="2">
        <f>SUM(U3:U17)</f>
        <v>11</v>
      </c>
    </row>
    <row r="19" spans="2:13" ht="15.75">
      <c r="B19" s="1" t="s">
        <v>251</v>
      </c>
      <c r="C19" s="6">
        <f>COUNT(C3:C17)</f>
        <v>0</v>
      </c>
      <c r="D19" s="6">
        <f aca="true" t="shared" si="2" ref="D19:K19">COUNT(D3:D17)</f>
        <v>14</v>
      </c>
      <c r="E19" s="6">
        <f t="shared" si="2"/>
        <v>14</v>
      </c>
      <c r="F19" s="6">
        <f t="shared" si="2"/>
        <v>12</v>
      </c>
      <c r="G19" s="6">
        <f t="shared" si="2"/>
        <v>10</v>
      </c>
      <c r="H19" s="6">
        <f>COUNT(H3:H13)+COUNT(H15:H17)</f>
        <v>12</v>
      </c>
      <c r="I19" s="6">
        <f t="shared" si="2"/>
        <v>0</v>
      </c>
      <c r="J19" s="6">
        <f t="shared" si="2"/>
        <v>7</v>
      </c>
      <c r="K19" s="6">
        <f t="shared" si="2"/>
        <v>11</v>
      </c>
      <c r="L19" s="6">
        <f>COUNT(L3:L13)+COUNT(L15:L17)</f>
        <v>9</v>
      </c>
      <c r="M19" s="6"/>
    </row>
    <row r="20" spans="2:21" ht="31.5">
      <c r="B20" s="12" t="s">
        <v>129</v>
      </c>
      <c r="C20" s="17"/>
      <c r="D20" s="17">
        <f aca="true" t="shared" si="3" ref="D20:K20">AVERAGE(D3:D17)</f>
        <v>407.7142857142857</v>
      </c>
      <c r="E20" s="17">
        <f t="shared" si="3"/>
        <v>410.14285714285717</v>
      </c>
      <c r="F20" s="17">
        <f t="shared" si="3"/>
        <v>410.9166666666667</v>
      </c>
      <c r="G20" s="17">
        <f t="shared" si="3"/>
        <v>437.1</v>
      </c>
      <c r="H20" s="17">
        <f>H18/H19</f>
        <v>404.8333333333333</v>
      </c>
      <c r="I20" s="17"/>
      <c r="J20" s="17">
        <f t="shared" si="3"/>
        <v>422.14285714285717</v>
      </c>
      <c r="K20" s="17">
        <f t="shared" si="3"/>
        <v>417.54545454545456</v>
      </c>
      <c r="L20" s="17">
        <f>L18/L19</f>
        <v>399.8888888888889</v>
      </c>
      <c r="M20" s="17"/>
      <c r="N20" s="3" t="s">
        <v>30</v>
      </c>
      <c r="O20" s="265" t="s">
        <v>117</v>
      </c>
      <c r="P20" s="265"/>
      <c r="Q20" s="3" t="s">
        <v>31</v>
      </c>
      <c r="R20" s="11" t="s">
        <v>118</v>
      </c>
      <c r="T20" s="105" t="s">
        <v>128</v>
      </c>
      <c r="U20" s="105" t="s">
        <v>247</v>
      </c>
    </row>
    <row r="21" spans="14:21" ht="15.75">
      <c r="N21" s="6">
        <f>SUM(N3:N17)</f>
        <v>37134</v>
      </c>
      <c r="O21" s="1">
        <f>SUM(O3:O17)</f>
        <v>48</v>
      </c>
      <c r="P21" s="1">
        <f>SUM(P3:P17)</f>
        <v>72</v>
      </c>
      <c r="Q21" s="1">
        <f>SUM(Q3:Q17)</f>
        <v>-770</v>
      </c>
      <c r="R21" s="1">
        <f>SUM(R3:R17)</f>
        <v>8</v>
      </c>
      <c r="T21" s="2">
        <f>O21-P21</f>
        <v>-24</v>
      </c>
      <c r="U21" s="2">
        <f>SUM(S18:U18)</f>
        <v>15</v>
      </c>
    </row>
    <row r="22" ht="15.75">
      <c r="G22" s="15"/>
    </row>
    <row r="23" spans="3:15" ht="15.75">
      <c r="C23" s="270" t="s">
        <v>40</v>
      </c>
      <c r="D23" s="270"/>
      <c r="N23" s="1" t="s">
        <v>130</v>
      </c>
      <c r="O23" s="19">
        <f>N21/U21</f>
        <v>2475.6</v>
      </c>
    </row>
    <row r="24" spans="3:15" ht="15.75">
      <c r="C24" s="268" t="s">
        <v>134</v>
      </c>
      <c r="D24" s="268"/>
      <c r="N24" s="1" t="s">
        <v>260</v>
      </c>
      <c r="O24" s="6">
        <f>N3+N5+N6+N8+N10+N12+N14+N16+N31+N33+N35+N37+N40+N42+N44</f>
        <v>37364</v>
      </c>
    </row>
    <row r="25" spans="3:13" ht="15.75">
      <c r="C25" s="269" t="s">
        <v>135</v>
      </c>
      <c r="D25" s="269"/>
      <c r="I25" s="262" t="s">
        <v>154</v>
      </c>
      <c r="J25" s="262"/>
      <c r="K25" s="12" t="s">
        <v>155</v>
      </c>
      <c r="L25" s="271" t="s">
        <v>128</v>
      </c>
      <c r="M25" s="271"/>
    </row>
    <row r="26" spans="9:13" ht="15.75">
      <c r="I26" s="1">
        <f>O21+O45</f>
        <v>117</v>
      </c>
      <c r="J26" s="1">
        <f>P21+P45</f>
        <v>123</v>
      </c>
      <c r="K26" s="1">
        <f>R21+R45</f>
        <v>25</v>
      </c>
      <c r="L26" s="267">
        <f>I26-J26</f>
        <v>-6</v>
      </c>
      <c r="M26" s="267"/>
    </row>
    <row r="27" spans="2:7" ht="15.75">
      <c r="B27" s="73" t="s">
        <v>144</v>
      </c>
      <c r="C27" s="74"/>
      <c r="D27" s="74" t="s">
        <v>147</v>
      </c>
      <c r="E27" s="74" t="s">
        <v>145</v>
      </c>
      <c r="F27" s="266" t="s">
        <v>146</v>
      </c>
      <c r="G27" s="266"/>
    </row>
    <row r="29" spans="2:21" ht="32.25" thickBot="1">
      <c r="B29" s="3" t="s">
        <v>25</v>
      </c>
      <c r="C29" s="9" t="s">
        <v>136</v>
      </c>
      <c r="D29" s="9" t="s">
        <v>83</v>
      </c>
      <c r="E29" s="9" t="s">
        <v>84</v>
      </c>
      <c r="F29" s="9" t="s">
        <v>85</v>
      </c>
      <c r="G29" s="9" t="s">
        <v>86</v>
      </c>
      <c r="H29" s="9" t="s">
        <v>87</v>
      </c>
      <c r="I29" s="13" t="s">
        <v>139</v>
      </c>
      <c r="J29" s="9" t="s">
        <v>140</v>
      </c>
      <c r="K29" s="9" t="s">
        <v>113</v>
      </c>
      <c r="L29" s="9" t="s">
        <v>246</v>
      </c>
      <c r="M29" s="9"/>
      <c r="N29" s="3" t="s">
        <v>30</v>
      </c>
      <c r="O29" s="3" t="s">
        <v>19</v>
      </c>
      <c r="P29" s="3" t="s">
        <v>29</v>
      </c>
      <c r="Q29" s="3" t="s">
        <v>31</v>
      </c>
      <c r="R29" s="11" t="s">
        <v>116</v>
      </c>
      <c r="S29" s="2" t="s">
        <v>191</v>
      </c>
      <c r="T29" s="2" t="s">
        <v>192</v>
      </c>
      <c r="U29" s="2" t="s">
        <v>193</v>
      </c>
    </row>
    <row r="30" spans="1:19" s="148" customFormat="1" ht="15.75">
      <c r="A30" s="144" t="s">
        <v>221</v>
      </c>
      <c r="B30" s="144" t="s">
        <v>223</v>
      </c>
      <c r="D30" s="182">
        <v>450</v>
      </c>
      <c r="E30" s="182">
        <v>456</v>
      </c>
      <c r="F30" s="182">
        <v>446</v>
      </c>
      <c r="G30" s="165">
        <v>382</v>
      </c>
      <c r="H30" s="165">
        <v>405</v>
      </c>
      <c r="I30" s="165"/>
      <c r="J30" s="182">
        <v>425</v>
      </c>
      <c r="K30" s="165"/>
      <c r="L30" s="165"/>
      <c r="M30" s="145"/>
      <c r="N30" s="146">
        <f>SUM(C30:M30)</f>
        <v>2564</v>
      </c>
      <c r="O30" s="144">
        <v>6</v>
      </c>
      <c r="P30" s="144">
        <v>2</v>
      </c>
      <c r="Q30" s="144">
        <v>69</v>
      </c>
      <c r="R30" s="144">
        <v>2</v>
      </c>
      <c r="S30" s="148">
        <v>1</v>
      </c>
    </row>
    <row r="31" spans="1:19" s="158" customFormat="1" ht="15.75">
      <c r="A31" s="154" t="s">
        <v>222</v>
      </c>
      <c r="B31" s="154" t="s">
        <v>22</v>
      </c>
      <c r="D31" s="163"/>
      <c r="E31" s="181">
        <v>427</v>
      </c>
      <c r="F31" s="181">
        <v>414</v>
      </c>
      <c r="G31" s="181">
        <v>429</v>
      </c>
      <c r="H31" s="163">
        <v>410</v>
      </c>
      <c r="I31" s="163"/>
      <c r="J31" s="181">
        <v>413</v>
      </c>
      <c r="K31" s="163"/>
      <c r="L31" s="163">
        <v>400</v>
      </c>
      <c r="M31" s="155"/>
      <c r="N31" s="156">
        <f>SUM(C31:M31)</f>
        <v>2493</v>
      </c>
      <c r="O31" s="154">
        <v>6</v>
      </c>
      <c r="P31" s="154">
        <v>2</v>
      </c>
      <c r="Q31" s="154">
        <v>116</v>
      </c>
      <c r="R31" s="154">
        <v>2</v>
      </c>
      <c r="S31" s="158">
        <v>1</v>
      </c>
    </row>
    <row r="32" spans="1:21" s="148" customFormat="1" ht="15.75">
      <c r="A32" s="144" t="s">
        <v>156</v>
      </c>
      <c r="B32" s="144" t="s">
        <v>15</v>
      </c>
      <c r="D32" s="182">
        <v>435</v>
      </c>
      <c r="E32" s="165">
        <v>407</v>
      </c>
      <c r="F32" s="165">
        <v>410</v>
      </c>
      <c r="G32" s="182">
        <v>440</v>
      </c>
      <c r="H32" s="165">
        <v>401</v>
      </c>
      <c r="I32" s="165"/>
      <c r="J32" s="165">
        <v>412</v>
      </c>
      <c r="K32" s="165"/>
      <c r="L32" s="165"/>
      <c r="M32" s="145"/>
      <c r="N32" s="146">
        <f>SUM(C32:M32)</f>
        <v>2505</v>
      </c>
      <c r="O32" s="144">
        <v>2</v>
      </c>
      <c r="P32" s="144">
        <v>6</v>
      </c>
      <c r="Q32" s="144">
        <v>-116</v>
      </c>
      <c r="R32" s="144">
        <v>0</v>
      </c>
      <c r="U32" s="148">
        <v>1</v>
      </c>
    </row>
    <row r="33" spans="1:21" s="158" customFormat="1" ht="15.75">
      <c r="A33" s="154" t="s">
        <v>157</v>
      </c>
      <c r="B33" s="154" t="s">
        <v>17</v>
      </c>
      <c r="D33" s="181">
        <v>441</v>
      </c>
      <c r="E33" s="163">
        <v>388</v>
      </c>
      <c r="F33" s="163">
        <v>381</v>
      </c>
      <c r="G33" s="181">
        <v>441</v>
      </c>
      <c r="H33" s="163">
        <v>411</v>
      </c>
      <c r="I33" s="163"/>
      <c r="J33" s="181">
        <v>449</v>
      </c>
      <c r="K33" s="163"/>
      <c r="L33" s="163"/>
      <c r="M33" s="155"/>
      <c r="N33" s="156">
        <f>SUM(C33:M33)</f>
        <v>2511</v>
      </c>
      <c r="O33" s="154">
        <v>3</v>
      </c>
      <c r="P33" s="154">
        <v>5</v>
      </c>
      <c r="Q33" s="154">
        <v>-165</v>
      </c>
      <c r="R33" s="154">
        <v>0</v>
      </c>
      <c r="U33" s="158">
        <v>1</v>
      </c>
    </row>
    <row r="34" spans="1:19" s="148" customFormat="1" ht="15.75">
      <c r="A34" s="144" t="s">
        <v>158</v>
      </c>
      <c r="B34" s="144" t="s">
        <v>218</v>
      </c>
      <c r="D34" s="182">
        <v>433</v>
      </c>
      <c r="E34" s="182">
        <v>437</v>
      </c>
      <c r="F34" s="165"/>
      <c r="G34" s="165">
        <v>419</v>
      </c>
      <c r="H34" s="182">
        <v>430</v>
      </c>
      <c r="I34" s="165"/>
      <c r="J34" s="182">
        <v>432</v>
      </c>
      <c r="K34" s="165"/>
      <c r="L34" s="182">
        <v>451</v>
      </c>
      <c r="M34" s="145"/>
      <c r="N34" s="146">
        <f>SUM(C34:M34)</f>
        <v>2602</v>
      </c>
      <c r="O34" s="144">
        <v>7</v>
      </c>
      <c r="P34" s="144">
        <v>1</v>
      </c>
      <c r="Q34" s="144">
        <f>N34-2321</f>
        <v>281</v>
      </c>
      <c r="R34" s="144">
        <v>2</v>
      </c>
      <c r="S34" s="148">
        <v>1</v>
      </c>
    </row>
    <row r="35" spans="1:21" s="158" customFormat="1" ht="15.75">
      <c r="A35" s="154" t="s">
        <v>159</v>
      </c>
      <c r="B35" s="154" t="s">
        <v>23</v>
      </c>
      <c r="D35" s="163">
        <v>412</v>
      </c>
      <c r="E35" s="181">
        <v>452</v>
      </c>
      <c r="F35" s="163">
        <v>393</v>
      </c>
      <c r="G35" s="181">
        <v>437</v>
      </c>
      <c r="H35" s="163">
        <v>419</v>
      </c>
      <c r="I35" s="163"/>
      <c r="J35" s="163">
        <v>419</v>
      </c>
      <c r="K35" s="163"/>
      <c r="L35" s="163"/>
      <c r="M35" s="155"/>
      <c r="N35" s="156">
        <f aca="true" t="shared" si="4" ref="N35:N44">SUM(C35:M35)</f>
        <v>2532</v>
      </c>
      <c r="O35" s="154">
        <v>2</v>
      </c>
      <c r="P35" s="154">
        <v>6</v>
      </c>
      <c r="Q35" s="154">
        <v>-1</v>
      </c>
      <c r="R35" s="154">
        <v>0</v>
      </c>
      <c r="U35" s="158">
        <v>1</v>
      </c>
    </row>
    <row r="36" spans="1:19" s="148" customFormat="1" ht="15.75">
      <c r="A36" s="144" t="s">
        <v>160</v>
      </c>
      <c r="B36" s="144" t="s">
        <v>217</v>
      </c>
      <c r="D36" s="182">
        <v>429</v>
      </c>
      <c r="E36" s="182">
        <v>450</v>
      </c>
      <c r="F36" s="182">
        <v>434</v>
      </c>
      <c r="G36" s="165"/>
      <c r="H36" s="182">
        <v>453</v>
      </c>
      <c r="I36" s="165"/>
      <c r="J36" s="182">
        <v>442</v>
      </c>
      <c r="K36" s="165"/>
      <c r="L36" s="165">
        <v>394</v>
      </c>
      <c r="M36" s="145"/>
      <c r="N36" s="146">
        <f t="shared" si="4"/>
        <v>2602</v>
      </c>
      <c r="O36" s="144">
        <v>7</v>
      </c>
      <c r="P36" s="144">
        <v>1</v>
      </c>
      <c r="Q36" s="144">
        <v>76</v>
      </c>
      <c r="R36" s="144">
        <v>2</v>
      </c>
      <c r="S36" s="148">
        <v>1</v>
      </c>
    </row>
    <row r="37" spans="1:20" s="158" customFormat="1" ht="15.75">
      <c r="A37" s="154" t="s">
        <v>161</v>
      </c>
      <c r="B37" s="154" t="s">
        <v>204</v>
      </c>
      <c r="D37" s="163">
        <v>415</v>
      </c>
      <c r="E37" s="163">
        <v>410</v>
      </c>
      <c r="F37" s="163"/>
      <c r="G37" s="163">
        <v>404</v>
      </c>
      <c r="H37" s="181">
        <v>424</v>
      </c>
      <c r="I37" s="163"/>
      <c r="J37" s="181">
        <v>460</v>
      </c>
      <c r="K37" s="163">
        <v>412</v>
      </c>
      <c r="L37" s="163"/>
      <c r="M37" s="155"/>
      <c r="N37" s="156">
        <f t="shared" si="4"/>
        <v>2525</v>
      </c>
      <c r="O37" s="154">
        <v>4</v>
      </c>
      <c r="P37" s="154">
        <v>4</v>
      </c>
      <c r="Q37" s="154">
        <v>33</v>
      </c>
      <c r="R37" s="154">
        <v>1</v>
      </c>
      <c r="T37" s="158">
        <v>1</v>
      </c>
    </row>
    <row r="38" spans="1:19" s="148" customFormat="1" ht="15.75">
      <c r="A38" s="144" t="s">
        <v>162</v>
      </c>
      <c r="B38" s="144" t="s">
        <v>214</v>
      </c>
      <c r="D38" s="165">
        <v>404</v>
      </c>
      <c r="E38" s="182">
        <v>406</v>
      </c>
      <c r="F38" s="165"/>
      <c r="G38" s="165">
        <v>185</v>
      </c>
      <c r="H38" s="182">
        <v>418</v>
      </c>
      <c r="I38" s="165"/>
      <c r="J38" s="182">
        <v>428</v>
      </c>
      <c r="K38" s="165">
        <v>209</v>
      </c>
      <c r="L38" s="182">
        <v>415</v>
      </c>
      <c r="M38" s="145"/>
      <c r="N38" s="146">
        <f t="shared" si="4"/>
        <v>2465</v>
      </c>
      <c r="O38" s="144">
        <v>6</v>
      </c>
      <c r="P38" s="144">
        <v>2</v>
      </c>
      <c r="Q38" s="144">
        <v>62</v>
      </c>
      <c r="R38" s="144">
        <v>2</v>
      </c>
      <c r="S38" s="148">
        <v>1</v>
      </c>
    </row>
    <row r="39" spans="1:19" s="148" customFormat="1" ht="15.75">
      <c r="A39" s="144" t="s">
        <v>163</v>
      </c>
      <c r="B39" s="144" t="s">
        <v>26</v>
      </c>
      <c r="D39" s="182">
        <v>430</v>
      </c>
      <c r="E39" s="165">
        <v>396</v>
      </c>
      <c r="F39" s="165"/>
      <c r="G39" s="182">
        <v>450</v>
      </c>
      <c r="H39" s="182">
        <v>449</v>
      </c>
      <c r="I39" s="165"/>
      <c r="J39" s="182">
        <v>436</v>
      </c>
      <c r="K39" s="182">
        <v>448</v>
      </c>
      <c r="L39" s="165"/>
      <c r="M39" s="145"/>
      <c r="N39" s="146">
        <f t="shared" si="4"/>
        <v>2609</v>
      </c>
      <c r="O39" s="144">
        <v>7</v>
      </c>
      <c r="P39" s="144">
        <v>1</v>
      </c>
      <c r="Q39" s="144">
        <v>70</v>
      </c>
      <c r="R39" s="144">
        <v>2</v>
      </c>
      <c r="S39" s="148">
        <v>1</v>
      </c>
    </row>
    <row r="40" spans="1:19" s="158" customFormat="1" ht="15.75">
      <c r="A40" s="154" t="s">
        <v>164</v>
      </c>
      <c r="B40" s="154" t="s">
        <v>21</v>
      </c>
      <c r="D40" s="163">
        <v>383</v>
      </c>
      <c r="E40" s="224">
        <v>454</v>
      </c>
      <c r="F40" s="163"/>
      <c r="G40" s="224">
        <v>430</v>
      </c>
      <c r="H40" s="163">
        <v>388</v>
      </c>
      <c r="I40" s="163"/>
      <c r="J40" s="224">
        <v>462</v>
      </c>
      <c r="K40" s="224">
        <v>451</v>
      </c>
      <c r="L40" s="163"/>
      <c r="M40" s="155"/>
      <c r="N40" s="156">
        <f t="shared" si="4"/>
        <v>2568</v>
      </c>
      <c r="O40" s="154">
        <v>6</v>
      </c>
      <c r="P40" s="154">
        <v>2</v>
      </c>
      <c r="Q40" s="154">
        <v>69</v>
      </c>
      <c r="R40" s="154">
        <v>2</v>
      </c>
      <c r="S40" s="158">
        <v>1</v>
      </c>
    </row>
    <row r="41" spans="1:21" s="148" customFormat="1" ht="15.75">
      <c r="A41" s="144" t="s">
        <v>165</v>
      </c>
      <c r="B41" s="149" t="s">
        <v>24</v>
      </c>
      <c r="D41" s="165">
        <v>397</v>
      </c>
      <c r="E41" s="225">
        <v>452</v>
      </c>
      <c r="F41" s="165">
        <v>424</v>
      </c>
      <c r="G41" s="165">
        <v>431</v>
      </c>
      <c r="H41" s="165"/>
      <c r="I41" s="165"/>
      <c r="J41" s="225">
        <v>447</v>
      </c>
      <c r="K41" s="225">
        <v>434</v>
      </c>
      <c r="L41" s="165"/>
      <c r="M41" s="145"/>
      <c r="N41" s="146">
        <f>SUM(B41:M41)</f>
        <v>2585</v>
      </c>
      <c r="O41" s="144">
        <v>3</v>
      </c>
      <c r="P41" s="144">
        <v>5</v>
      </c>
      <c r="Q41" s="144">
        <v>-73</v>
      </c>
      <c r="R41" s="144">
        <v>0</v>
      </c>
      <c r="U41" s="148">
        <v>1</v>
      </c>
    </row>
    <row r="42" spans="1:21" s="158" customFormat="1" ht="15.75">
      <c r="A42" s="154" t="s">
        <v>166</v>
      </c>
      <c r="B42" s="154" t="s">
        <v>20</v>
      </c>
      <c r="D42" s="163"/>
      <c r="E42" s="224">
        <v>435</v>
      </c>
      <c r="F42" s="163">
        <v>409</v>
      </c>
      <c r="G42" s="163">
        <v>407</v>
      </c>
      <c r="H42" s="163">
        <v>371</v>
      </c>
      <c r="I42" s="163"/>
      <c r="J42" s="224">
        <v>460</v>
      </c>
      <c r="K42" s="163">
        <v>417</v>
      </c>
      <c r="L42" s="163"/>
      <c r="M42" s="155"/>
      <c r="N42" s="156">
        <f t="shared" si="4"/>
        <v>2499</v>
      </c>
      <c r="O42" s="154">
        <v>2</v>
      </c>
      <c r="P42" s="154">
        <v>6</v>
      </c>
      <c r="Q42" s="154">
        <v>-65</v>
      </c>
      <c r="R42" s="154">
        <v>0</v>
      </c>
      <c r="U42" s="158">
        <v>1</v>
      </c>
    </row>
    <row r="43" spans="1:19" s="148" customFormat="1" ht="15.75">
      <c r="A43" s="144" t="s">
        <v>167</v>
      </c>
      <c r="B43" s="144" t="s">
        <v>18</v>
      </c>
      <c r="D43" s="225">
        <v>469</v>
      </c>
      <c r="E43" s="225">
        <v>452</v>
      </c>
      <c r="F43" s="165"/>
      <c r="G43" s="165"/>
      <c r="H43" s="165">
        <v>435</v>
      </c>
      <c r="I43" s="165"/>
      <c r="J43" s="225">
        <v>452</v>
      </c>
      <c r="K43" s="165">
        <v>432</v>
      </c>
      <c r="L43" s="165">
        <v>425</v>
      </c>
      <c r="M43" s="145"/>
      <c r="N43" s="146">
        <f t="shared" si="4"/>
        <v>2665</v>
      </c>
      <c r="O43" s="144">
        <v>5</v>
      </c>
      <c r="P43" s="144">
        <v>3</v>
      </c>
      <c r="Q43" s="144">
        <f>N43-2573</f>
        <v>92</v>
      </c>
      <c r="R43" s="144">
        <v>2</v>
      </c>
      <c r="S43" s="148">
        <v>1</v>
      </c>
    </row>
    <row r="44" spans="1:21" s="158" customFormat="1" ht="16.5" thickBot="1">
      <c r="A44" s="154" t="s">
        <v>168</v>
      </c>
      <c r="B44" s="154" t="s">
        <v>16</v>
      </c>
      <c r="C44" s="179"/>
      <c r="D44" s="164">
        <v>413</v>
      </c>
      <c r="E44" s="242">
        <v>434</v>
      </c>
      <c r="F44" s="242">
        <v>424</v>
      </c>
      <c r="G44" s="164"/>
      <c r="H44" s="164">
        <v>394</v>
      </c>
      <c r="I44" s="164"/>
      <c r="J44" s="242">
        <v>426</v>
      </c>
      <c r="K44" s="164">
        <v>420</v>
      </c>
      <c r="L44" s="164"/>
      <c r="M44" s="159"/>
      <c r="N44" s="161">
        <f t="shared" si="4"/>
        <v>2511</v>
      </c>
      <c r="O44" s="160">
        <v>3</v>
      </c>
      <c r="P44" s="160">
        <v>5</v>
      </c>
      <c r="Q44" s="160">
        <v>-56</v>
      </c>
      <c r="R44" s="160">
        <v>0</v>
      </c>
      <c r="S44" s="179"/>
      <c r="T44" s="179"/>
      <c r="U44" s="179">
        <v>1</v>
      </c>
    </row>
    <row r="45" spans="3:21" ht="16.5" thickTop="1">
      <c r="C45" s="7">
        <f aca="true" t="shared" si="5" ref="C45:L45">SUM(C30:C44)</f>
        <v>0</v>
      </c>
      <c r="D45" s="7">
        <f t="shared" si="5"/>
        <v>5511</v>
      </c>
      <c r="E45" s="7">
        <f t="shared" si="5"/>
        <v>6456</v>
      </c>
      <c r="F45" s="7">
        <f t="shared" si="5"/>
        <v>3735</v>
      </c>
      <c r="G45" s="7">
        <f>SUM(G30:G37)+SUM(G39:G44)</f>
        <v>4670</v>
      </c>
      <c r="H45" s="7">
        <f t="shared" si="5"/>
        <v>5808</v>
      </c>
      <c r="I45" s="7">
        <f t="shared" si="5"/>
        <v>0</v>
      </c>
      <c r="J45" s="7">
        <f t="shared" si="5"/>
        <v>6563</v>
      </c>
      <c r="K45" s="7">
        <f>SUM(K30:K37)+SUM(K39:K44)</f>
        <v>3014</v>
      </c>
      <c r="L45" s="7">
        <f t="shared" si="5"/>
        <v>2085</v>
      </c>
      <c r="O45" s="1">
        <f>SUM(O30:O44)</f>
        <v>69</v>
      </c>
      <c r="P45" s="1">
        <f>SUM(P30:P44)</f>
        <v>51</v>
      </c>
      <c r="Q45" s="1">
        <f>SUM(Q30:Q44)</f>
        <v>392</v>
      </c>
      <c r="R45" s="1">
        <f>SUM(R30:R44)</f>
        <v>17</v>
      </c>
      <c r="S45" s="1">
        <f>SUM(S30:S44)+S18</f>
        <v>12</v>
      </c>
      <c r="T45" s="1">
        <f>SUM(T30:T44)+T18</f>
        <v>1</v>
      </c>
      <c r="U45" s="1">
        <f>SUM(U30:U44)+U18</f>
        <v>17</v>
      </c>
    </row>
    <row r="46" spans="2:12" ht="31.5">
      <c r="B46" s="83" t="s">
        <v>277</v>
      </c>
      <c r="C46" s="1">
        <f>COUNT(C30:C44)</f>
        <v>0</v>
      </c>
      <c r="D46" s="1">
        <f aca="true" t="shared" si="6" ref="D46:L46">COUNT(D30:D44)</f>
        <v>13</v>
      </c>
      <c r="E46" s="1">
        <f t="shared" si="6"/>
        <v>15</v>
      </c>
      <c r="F46" s="1">
        <f t="shared" si="6"/>
        <v>9</v>
      </c>
      <c r="G46" s="1">
        <f>COUNT(G30:G37)+COUNT(G39:G44)</f>
        <v>11</v>
      </c>
      <c r="H46" s="1">
        <f t="shared" si="6"/>
        <v>14</v>
      </c>
      <c r="I46" s="1">
        <f t="shared" si="6"/>
        <v>0</v>
      </c>
      <c r="J46" s="1">
        <f t="shared" si="6"/>
        <v>15</v>
      </c>
      <c r="K46" s="1">
        <f>COUNT(K30:K37)+COUNT(K39:K44)</f>
        <v>7</v>
      </c>
      <c r="L46" s="1">
        <f t="shared" si="6"/>
        <v>5</v>
      </c>
    </row>
    <row r="47" spans="2:21" ht="31.5">
      <c r="B47" s="12" t="s">
        <v>129</v>
      </c>
      <c r="C47" s="17"/>
      <c r="D47" s="17">
        <f aca="true" t="shared" si="7" ref="D47:L47">D45/D46</f>
        <v>423.9230769230769</v>
      </c>
      <c r="E47" s="17">
        <f t="shared" si="7"/>
        <v>430.4</v>
      </c>
      <c r="F47" s="17">
        <f t="shared" si="7"/>
        <v>415</v>
      </c>
      <c r="G47" s="17">
        <f t="shared" si="7"/>
        <v>424.54545454545456</v>
      </c>
      <c r="H47" s="17">
        <f t="shared" si="7"/>
        <v>414.85714285714283</v>
      </c>
      <c r="I47" s="17"/>
      <c r="J47" s="17">
        <f t="shared" si="7"/>
        <v>437.53333333333336</v>
      </c>
      <c r="K47" s="17">
        <f t="shared" si="7"/>
        <v>430.57142857142856</v>
      </c>
      <c r="L47" s="17">
        <f t="shared" si="7"/>
        <v>417</v>
      </c>
      <c r="N47" s="3" t="s">
        <v>30</v>
      </c>
      <c r="O47" s="265" t="s">
        <v>117</v>
      </c>
      <c r="P47" s="265"/>
      <c r="Q47" s="3" t="s">
        <v>31</v>
      </c>
      <c r="R47" s="11" t="s">
        <v>118</v>
      </c>
      <c r="T47" s="105" t="s">
        <v>128</v>
      </c>
      <c r="U47" s="105" t="s">
        <v>247</v>
      </c>
    </row>
    <row r="48" spans="14:21" ht="15.75">
      <c r="N48" s="6">
        <f>SUM(N30:N44)+N21</f>
        <v>75370</v>
      </c>
      <c r="O48" s="6">
        <f>SUM(O30:O44)+O21</f>
        <v>117</v>
      </c>
      <c r="P48" s="6">
        <f>SUM(P30:P44)+P21</f>
        <v>123</v>
      </c>
      <c r="Q48" s="6">
        <f>SUM(Q30:Q44)+Q21</f>
        <v>-378</v>
      </c>
      <c r="R48" s="6">
        <f>SUM(R30:R44)+R21</f>
        <v>25</v>
      </c>
      <c r="T48" s="2">
        <f>O48-P48</f>
        <v>-6</v>
      </c>
      <c r="U48" s="2">
        <f>SUM(S45:U45)</f>
        <v>30</v>
      </c>
    </row>
    <row r="50" spans="14:15" ht="15.75">
      <c r="N50" s="1" t="s">
        <v>130</v>
      </c>
      <c r="O50" s="19">
        <f>N48/U48</f>
        <v>2512.3333333333335</v>
      </c>
    </row>
  </sheetData>
  <sheetProtection/>
  <mergeCells count="11">
    <mergeCell ref="C1:M1"/>
    <mergeCell ref="O1:P1"/>
    <mergeCell ref="C23:D23"/>
    <mergeCell ref="O20:P20"/>
    <mergeCell ref="C24:D24"/>
    <mergeCell ref="C25:D25"/>
    <mergeCell ref="O47:P47"/>
    <mergeCell ref="F27:G27"/>
    <mergeCell ref="L26:M26"/>
    <mergeCell ref="I25:J25"/>
    <mergeCell ref="L25:M25"/>
  </mergeCells>
  <printOptions/>
  <pageMargins left="0.75" right="0.75" top="1" bottom="1" header="0.5" footer="0.5"/>
  <pageSetup horizontalDpi="600" verticalDpi="600" orientation="portrait" paperSize="9" r:id="rId1"/>
  <ignoredErrors>
    <ignoredError sqref="H18:H19 L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="90" zoomScaleNormal="90" zoomScalePageLayoutView="0" workbookViewId="0" topLeftCell="A25">
      <selection activeCell="H44" sqref="H44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6" width="9.125" style="1" customWidth="1"/>
    <col min="7" max="7" width="10.375" style="1" customWidth="1"/>
    <col min="8" max="8" width="9.75390625" style="1" customWidth="1"/>
    <col min="9" max="10" width="9.125" style="1" customWidth="1"/>
    <col min="11" max="11" width="11.625" style="1" customWidth="1"/>
    <col min="12" max="12" width="11.625" style="1" bestFit="1" customWidth="1"/>
    <col min="13" max="13" width="17.1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2.375" style="1" customWidth="1"/>
    <col min="18" max="18" width="11.00390625" style="0" customWidth="1"/>
    <col min="19" max="19" width="14.125" style="0" customWidth="1"/>
    <col min="20" max="20" width="12.87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3"/>
      <c r="L1" s="3"/>
      <c r="N1" s="265" t="s">
        <v>28</v>
      </c>
      <c r="O1" s="265"/>
      <c r="R1" s="2"/>
      <c r="S1" s="2"/>
      <c r="T1" s="2"/>
    </row>
    <row r="2" spans="2:20" ht="32.25" thickBot="1">
      <c r="B2" s="3" t="s">
        <v>25</v>
      </c>
      <c r="C2" s="9" t="s">
        <v>106</v>
      </c>
      <c r="D2" s="9" t="s">
        <v>108</v>
      </c>
      <c r="E2" s="9" t="s">
        <v>109</v>
      </c>
      <c r="F2" s="9" t="s">
        <v>110</v>
      </c>
      <c r="G2" s="9" t="s">
        <v>186</v>
      </c>
      <c r="H2" s="9" t="s">
        <v>111</v>
      </c>
      <c r="I2" s="9" t="s">
        <v>138</v>
      </c>
      <c r="J2" s="9" t="s">
        <v>188</v>
      </c>
      <c r="K2" s="69" t="s">
        <v>244</v>
      </c>
      <c r="L2" s="9" t="s">
        <v>198</v>
      </c>
      <c r="M2" s="3" t="s">
        <v>30</v>
      </c>
      <c r="N2" s="3" t="s">
        <v>16</v>
      </c>
      <c r="O2" s="3" t="s">
        <v>29</v>
      </c>
      <c r="P2" s="3" t="s">
        <v>31</v>
      </c>
      <c r="Q2" s="11" t="s">
        <v>116</v>
      </c>
      <c r="R2" s="2" t="s">
        <v>191</v>
      </c>
      <c r="S2" s="2" t="s">
        <v>192</v>
      </c>
      <c r="T2" s="2" t="s">
        <v>193</v>
      </c>
    </row>
    <row r="3" spans="1:20" s="25" customFormat="1" ht="15.75">
      <c r="A3" s="20" t="s">
        <v>0</v>
      </c>
      <c r="B3" s="20" t="s">
        <v>217</v>
      </c>
      <c r="C3" s="86">
        <v>199</v>
      </c>
      <c r="D3" s="104">
        <v>448</v>
      </c>
      <c r="E3" s="86">
        <v>390</v>
      </c>
      <c r="F3" s="86">
        <v>196</v>
      </c>
      <c r="G3" s="86"/>
      <c r="H3" s="104">
        <v>434</v>
      </c>
      <c r="I3" s="104">
        <v>423</v>
      </c>
      <c r="J3" s="86"/>
      <c r="K3" s="100">
        <v>409</v>
      </c>
      <c r="L3" s="39"/>
      <c r="M3" s="23">
        <f>SUM(C3:K3)</f>
        <v>2499</v>
      </c>
      <c r="N3" s="20">
        <v>6</v>
      </c>
      <c r="O3" s="20">
        <v>2</v>
      </c>
      <c r="P3" s="23">
        <v>82</v>
      </c>
      <c r="Q3" s="20">
        <v>2</v>
      </c>
      <c r="R3" s="24">
        <v>1</v>
      </c>
      <c r="S3" s="24"/>
      <c r="T3" s="24"/>
    </row>
    <row r="4" spans="1:20" s="34" customFormat="1" ht="15.75">
      <c r="A4" s="29" t="s">
        <v>1</v>
      </c>
      <c r="B4" s="29" t="s">
        <v>23</v>
      </c>
      <c r="C4" s="48"/>
      <c r="D4" s="48"/>
      <c r="E4" s="48">
        <v>431</v>
      </c>
      <c r="F4" s="48">
        <v>448</v>
      </c>
      <c r="G4" s="48"/>
      <c r="H4" s="93">
        <v>463</v>
      </c>
      <c r="I4" s="48">
        <v>448</v>
      </c>
      <c r="J4" s="97">
        <v>461</v>
      </c>
      <c r="K4" s="97">
        <v>470</v>
      </c>
      <c r="L4" s="44"/>
      <c r="M4" s="32">
        <f>SUM(C4:L4)</f>
        <v>2721</v>
      </c>
      <c r="N4" s="29">
        <v>5</v>
      </c>
      <c r="O4" s="29">
        <v>3</v>
      </c>
      <c r="P4" s="29">
        <v>50</v>
      </c>
      <c r="Q4" s="29">
        <v>2</v>
      </c>
      <c r="R4" s="33">
        <v>1</v>
      </c>
      <c r="S4" s="33"/>
      <c r="T4" s="33"/>
    </row>
    <row r="5" spans="1:20" s="25" customFormat="1" ht="15.75">
      <c r="A5" s="20" t="s">
        <v>2</v>
      </c>
      <c r="B5" s="20" t="s">
        <v>218</v>
      </c>
      <c r="C5" s="92">
        <v>193</v>
      </c>
      <c r="D5" s="92">
        <v>448</v>
      </c>
      <c r="E5" s="47"/>
      <c r="F5" s="47"/>
      <c r="G5" s="92">
        <v>209</v>
      </c>
      <c r="H5" s="92">
        <v>441</v>
      </c>
      <c r="I5" s="92">
        <v>449</v>
      </c>
      <c r="J5" s="100">
        <v>444</v>
      </c>
      <c r="K5" s="100">
        <v>409</v>
      </c>
      <c r="L5" s="62"/>
      <c r="M5" s="23">
        <f>SUM(C5:K5)</f>
        <v>2593</v>
      </c>
      <c r="N5" s="20">
        <v>8</v>
      </c>
      <c r="O5" s="20">
        <v>0</v>
      </c>
      <c r="P5" s="20">
        <v>495</v>
      </c>
      <c r="Q5" s="20">
        <v>2</v>
      </c>
      <c r="R5" s="24">
        <v>1</v>
      </c>
      <c r="S5" s="24"/>
      <c r="T5" s="24"/>
    </row>
    <row r="6" spans="1:20" s="34" customFormat="1" ht="15.75">
      <c r="A6" s="29" t="s">
        <v>3</v>
      </c>
      <c r="B6" s="29" t="s">
        <v>17</v>
      </c>
      <c r="C6" s="48"/>
      <c r="D6" s="48">
        <v>421</v>
      </c>
      <c r="E6" s="48">
        <v>403</v>
      </c>
      <c r="F6" s="93">
        <v>433</v>
      </c>
      <c r="G6" s="48"/>
      <c r="H6" s="48">
        <v>397</v>
      </c>
      <c r="I6" s="48"/>
      <c r="J6" s="97">
        <v>434</v>
      </c>
      <c r="K6" s="97">
        <v>442</v>
      </c>
      <c r="L6" s="68"/>
      <c r="M6" s="32">
        <f>SUM(C6:K6)</f>
        <v>2530</v>
      </c>
      <c r="N6" s="29">
        <v>3</v>
      </c>
      <c r="O6" s="29">
        <v>5</v>
      </c>
      <c r="P6" s="29">
        <v>-29</v>
      </c>
      <c r="Q6" s="29">
        <v>0</v>
      </c>
      <c r="R6" s="33"/>
      <c r="S6" s="33"/>
      <c r="T6" s="33">
        <v>1</v>
      </c>
    </row>
    <row r="7" spans="1:20" s="25" customFormat="1" ht="15.75">
      <c r="A7" s="20" t="s">
        <v>4</v>
      </c>
      <c r="B7" s="20" t="s">
        <v>15</v>
      </c>
      <c r="C7" s="47"/>
      <c r="D7" s="47">
        <v>412</v>
      </c>
      <c r="E7" s="47">
        <v>412</v>
      </c>
      <c r="F7" s="92">
        <v>421</v>
      </c>
      <c r="G7" s="47"/>
      <c r="H7" s="47">
        <v>419</v>
      </c>
      <c r="I7" s="47"/>
      <c r="J7" s="49">
        <v>410</v>
      </c>
      <c r="K7" s="100">
        <v>463</v>
      </c>
      <c r="L7" s="39"/>
      <c r="M7" s="23">
        <f>SUM(C7:K7)</f>
        <v>2537</v>
      </c>
      <c r="N7" s="20">
        <v>2</v>
      </c>
      <c r="O7" s="20">
        <v>6</v>
      </c>
      <c r="P7" s="20">
        <v>-14</v>
      </c>
      <c r="Q7" s="20">
        <v>0</v>
      </c>
      <c r="R7" s="24"/>
      <c r="S7" s="24"/>
      <c r="T7" s="24">
        <v>1</v>
      </c>
    </row>
    <row r="8" spans="1:20" s="34" customFormat="1" ht="15.75">
      <c r="A8" s="29" t="s">
        <v>5</v>
      </c>
      <c r="B8" s="29" t="s">
        <v>22</v>
      </c>
      <c r="C8" s="48">
        <v>185</v>
      </c>
      <c r="D8" s="93">
        <v>448</v>
      </c>
      <c r="E8" s="93">
        <v>429</v>
      </c>
      <c r="F8" s="48">
        <v>408</v>
      </c>
      <c r="G8" s="48"/>
      <c r="H8" s="48">
        <v>230</v>
      </c>
      <c r="I8" s="48"/>
      <c r="J8" s="97">
        <v>435</v>
      </c>
      <c r="K8" s="97">
        <v>440</v>
      </c>
      <c r="L8" s="44"/>
      <c r="M8" s="32">
        <f>SUM(C8:K8)</f>
        <v>2575</v>
      </c>
      <c r="N8" s="29">
        <v>6</v>
      </c>
      <c r="O8" s="29">
        <v>2</v>
      </c>
      <c r="P8" s="29">
        <v>175</v>
      </c>
      <c r="Q8" s="29">
        <v>2</v>
      </c>
      <c r="R8" s="33">
        <v>1</v>
      </c>
      <c r="S8" s="33"/>
      <c r="T8" s="33"/>
    </row>
    <row r="9" spans="1:20" s="25" customFormat="1" ht="15.75">
      <c r="A9" s="20" t="s">
        <v>6</v>
      </c>
      <c r="B9" s="20" t="s">
        <v>219</v>
      </c>
      <c r="C9" s="47"/>
      <c r="D9" s="92">
        <v>454</v>
      </c>
      <c r="E9" s="92">
        <v>448</v>
      </c>
      <c r="F9" s="47"/>
      <c r="G9" s="47"/>
      <c r="H9" s="92">
        <v>451</v>
      </c>
      <c r="I9" s="92">
        <v>450</v>
      </c>
      <c r="J9" s="100">
        <v>454</v>
      </c>
      <c r="K9" s="49">
        <v>403</v>
      </c>
      <c r="L9" s="39"/>
      <c r="M9" s="23">
        <f>SUM(C9:K9)</f>
        <v>2660</v>
      </c>
      <c r="N9" s="20">
        <v>7</v>
      </c>
      <c r="O9" s="20">
        <v>1</v>
      </c>
      <c r="P9" s="20">
        <v>110</v>
      </c>
      <c r="Q9" s="20">
        <v>2</v>
      </c>
      <c r="R9" s="24">
        <v>1</v>
      </c>
      <c r="S9" s="24"/>
      <c r="T9" s="24"/>
    </row>
    <row r="10" spans="1:20" s="25" customFormat="1" ht="15.75">
      <c r="A10" s="20" t="s">
        <v>7</v>
      </c>
      <c r="B10" s="20" t="s">
        <v>26</v>
      </c>
      <c r="C10" s="47"/>
      <c r="D10" s="47">
        <v>401</v>
      </c>
      <c r="E10" s="92">
        <v>451</v>
      </c>
      <c r="F10" s="47"/>
      <c r="G10" s="47"/>
      <c r="H10" s="92">
        <v>437</v>
      </c>
      <c r="I10" s="47">
        <v>430</v>
      </c>
      <c r="J10" s="49">
        <v>424</v>
      </c>
      <c r="K10" s="100">
        <v>460</v>
      </c>
      <c r="L10" s="39"/>
      <c r="M10" s="23">
        <f>SUM(C10:L10)</f>
        <v>2603</v>
      </c>
      <c r="N10" s="20">
        <v>3</v>
      </c>
      <c r="O10" s="20">
        <v>5</v>
      </c>
      <c r="P10" s="20">
        <v>-27</v>
      </c>
      <c r="Q10" s="20">
        <v>0</v>
      </c>
      <c r="R10" s="24"/>
      <c r="S10" s="24"/>
      <c r="T10" s="24">
        <v>1</v>
      </c>
    </row>
    <row r="11" spans="1:20" s="34" customFormat="1" ht="15.75">
      <c r="A11" s="29" t="s">
        <v>8</v>
      </c>
      <c r="B11" s="29" t="s">
        <v>18</v>
      </c>
      <c r="C11" s="48"/>
      <c r="D11" s="48"/>
      <c r="E11" s="93">
        <v>436</v>
      </c>
      <c r="F11" s="93">
        <v>445</v>
      </c>
      <c r="G11" s="48"/>
      <c r="H11" s="93">
        <v>437</v>
      </c>
      <c r="I11" s="48">
        <v>423</v>
      </c>
      <c r="J11" s="97">
        <v>447</v>
      </c>
      <c r="K11" s="97">
        <v>431</v>
      </c>
      <c r="L11" s="44"/>
      <c r="M11" s="32">
        <f>SUM(C11:K11)</f>
        <v>2619</v>
      </c>
      <c r="N11" s="29">
        <v>7</v>
      </c>
      <c r="O11" s="29">
        <v>1</v>
      </c>
      <c r="P11" s="32">
        <f>M11-2520</f>
        <v>99</v>
      </c>
      <c r="Q11" s="29">
        <v>2</v>
      </c>
      <c r="R11" s="33">
        <v>1</v>
      </c>
      <c r="S11" s="33"/>
      <c r="T11" s="33"/>
    </row>
    <row r="12" spans="1:20" s="25" customFormat="1" ht="15.75">
      <c r="A12" s="20" t="s">
        <v>9</v>
      </c>
      <c r="B12" s="20" t="s">
        <v>20</v>
      </c>
      <c r="C12" s="47"/>
      <c r="D12" s="47">
        <v>436</v>
      </c>
      <c r="E12" s="47">
        <v>401</v>
      </c>
      <c r="F12" s="47">
        <v>402</v>
      </c>
      <c r="G12" s="47"/>
      <c r="H12" s="47">
        <v>410</v>
      </c>
      <c r="I12" s="47"/>
      <c r="J12" s="100">
        <v>457</v>
      </c>
      <c r="K12" s="100">
        <v>452</v>
      </c>
      <c r="L12" s="39"/>
      <c r="M12" s="23">
        <f aca="true" t="shared" si="0" ref="M12:M17">SUM(C12:L12)</f>
        <v>2558</v>
      </c>
      <c r="N12" s="20">
        <v>2</v>
      </c>
      <c r="O12" s="20">
        <v>6</v>
      </c>
      <c r="P12" s="23">
        <v>-60</v>
      </c>
      <c r="Q12" s="20">
        <v>0</v>
      </c>
      <c r="R12" s="24"/>
      <c r="S12" s="24"/>
      <c r="T12" s="24">
        <v>1</v>
      </c>
    </row>
    <row r="13" spans="1:20" s="34" customFormat="1" ht="15.75">
      <c r="A13" s="29" t="s">
        <v>10</v>
      </c>
      <c r="B13" s="29" t="s">
        <v>24</v>
      </c>
      <c r="C13" s="48"/>
      <c r="D13" s="93">
        <v>441</v>
      </c>
      <c r="E13" s="48">
        <v>433</v>
      </c>
      <c r="F13" s="48"/>
      <c r="G13" s="48"/>
      <c r="H13" s="48">
        <v>429</v>
      </c>
      <c r="I13" s="93">
        <v>442</v>
      </c>
      <c r="J13" s="97">
        <v>435</v>
      </c>
      <c r="K13" s="97">
        <v>468</v>
      </c>
      <c r="L13" s="44"/>
      <c r="M13" s="32">
        <f t="shared" si="0"/>
        <v>2648</v>
      </c>
      <c r="N13" s="29">
        <v>6</v>
      </c>
      <c r="O13" s="29">
        <v>2</v>
      </c>
      <c r="P13" s="32">
        <v>31</v>
      </c>
      <c r="Q13" s="29">
        <v>2</v>
      </c>
      <c r="R13" s="33">
        <v>1</v>
      </c>
      <c r="S13" s="33"/>
      <c r="T13" s="33"/>
    </row>
    <row r="14" spans="1:20" s="25" customFormat="1" ht="15.75">
      <c r="A14" s="20" t="s">
        <v>11</v>
      </c>
      <c r="B14" s="20" t="s">
        <v>21</v>
      </c>
      <c r="C14" s="47"/>
      <c r="D14" s="47">
        <v>402</v>
      </c>
      <c r="E14" s="47">
        <v>410</v>
      </c>
      <c r="F14" s="47"/>
      <c r="G14" s="47"/>
      <c r="H14" s="92">
        <v>462</v>
      </c>
      <c r="I14" s="92">
        <v>451</v>
      </c>
      <c r="J14" s="49">
        <v>434</v>
      </c>
      <c r="K14" s="100">
        <v>475</v>
      </c>
      <c r="L14" s="39"/>
      <c r="M14" s="23">
        <f t="shared" si="0"/>
        <v>2634</v>
      </c>
      <c r="N14" s="20">
        <v>5</v>
      </c>
      <c r="O14" s="20">
        <v>3</v>
      </c>
      <c r="P14" s="23">
        <f>M14-2596</f>
        <v>38</v>
      </c>
      <c r="Q14" s="20">
        <v>2</v>
      </c>
      <c r="R14" s="24">
        <v>1</v>
      </c>
      <c r="S14" s="24"/>
      <c r="T14" s="24"/>
    </row>
    <row r="15" spans="1:20" s="34" customFormat="1" ht="15.75">
      <c r="A15" s="29" t="s">
        <v>12</v>
      </c>
      <c r="B15" s="29" t="s">
        <v>19</v>
      </c>
      <c r="C15" s="48">
        <v>205</v>
      </c>
      <c r="D15" s="48">
        <v>201</v>
      </c>
      <c r="E15" s="93">
        <v>449</v>
      </c>
      <c r="F15" s="48">
        <v>431</v>
      </c>
      <c r="G15" s="48"/>
      <c r="H15" s="93">
        <v>467</v>
      </c>
      <c r="I15" s="93">
        <v>436</v>
      </c>
      <c r="J15" s="52"/>
      <c r="K15" s="97">
        <v>464</v>
      </c>
      <c r="L15" s="44"/>
      <c r="M15" s="32">
        <f t="shared" si="0"/>
        <v>2653</v>
      </c>
      <c r="N15" s="29">
        <v>6</v>
      </c>
      <c r="O15" s="29">
        <v>2</v>
      </c>
      <c r="P15" s="32">
        <v>164</v>
      </c>
      <c r="Q15" s="29">
        <v>2</v>
      </c>
      <c r="R15" s="33">
        <v>1</v>
      </c>
      <c r="S15" s="33"/>
      <c r="T15" s="33"/>
    </row>
    <row r="16" spans="1:20" s="25" customFormat="1" ht="15.75">
      <c r="A16" s="20" t="s">
        <v>13</v>
      </c>
      <c r="B16" s="20" t="s">
        <v>214</v>
      </c>
      <c r="C16" s="47"/>
      <c r="D16" s="92">
        <v>449</v>
      </c>
      <c r="E16" s="47">
        <v>418</v>
      </c>
      <c r="F16" s="47">
        <v>404</v>
      </c>
      <c r="G16" s="47"/>
      <c r="H16" s="47"/>
      <c r="I16" s="92">
        <v>443</v>
      </c>
      <c r="J16" s="49">
        <v>430</v>
      </c>
      <c r="K16" s="100">
        <v>490</v>
      </c>
      <c r="L16" s="39"/>
      <c r="M16" s="23">
        <f t="shared" si="0"/>
        <v>2634</v>
      </c>
      <c r="N16" s="20">
        <v>5</v>
      </c>
      <c r="O16" s="20">
        <v>3</v>
      </c>
      <c r="P16" s="23">
        <v>50</v>
      </c>
      <c r="Q16" s="20">
        <v>2</v>
      </c>
      <c r="R16" s="24">
        <v>1</v>
      </c>
      <c r="S16" s="24"/>
      <c r="T16" s="24"/>
    </row>
    <row r="17" spans="1:21" s="34" customFormat="1" ht="16.5" thickBot="1">
      <c r="A17" s="29" t="s">
        <v>14</v>
      </c>
      <c r="B17" s="29" t="s">
        <v>204</v>
      </c>
      <c r="C17" s="50">
        <v>178</v>
      </c>
      <c r="D17" s="170">
        <v>430</v>
      </c>
      <c r="E17" s="50">
        <v>428</v>
      </c>
      <c r="F17" s="50">
        <v>207</v>
      </c>
      <c r="G17" s="50"/>
      <c r="H17" s="50"/>
      <c r="I17" s="170">
        <v>460</v>
      </c>
      <c r="J17" s="170">
        <v>447</v>
      </c>
      <c r="K17" s="170">
        <v>428</v>
      </c>
      <c r="L17" s="41"/>
      <c r="M17" s="46">
        <f t="shared" si="0"/>
        <v>2578</v>
      </c>
      <c r="N17" s="43">
        <v>6</v>
      </c>
      <c r="O17" s="43">
        <v>2</v>
      </c>
      <c r="P17" s="46">
        <v>64</v>
      </c>
      <c r="Q17" s="43">
        <v>2</v>
      </c>
      <c r="R17" s="113">
        <v>1</v>
      </c>
      <c r="S17" s="113"/>
      <c r="T17" s="113"/>
      <c r="U17" s="87"/>
    </row>
    <row r="18" spans="3:20" ht="16.5" thickTop="1">
      <c r="C18" s="6"/>
      <c r="D18" s="6">
        <f>SUM(D3:D14)+SUM(D16:D17)</f>
        <v>5190</v>
      </c>
      <c r="E18" s="6">
        <f aca="true" t="shared" si="1" ref="E18:L18">SUM(E3:E17)</f>
        <v>5939</v>
      </c>
      <c r="F18" s="6">
        <f>SUM(F4:F16)</f>
        <v>3392</v>
      </c>
      <c r="G18" s="6"/>
      <c r="H18" s="6">
        <f>SUM(H3:H7)+SUM(H9:H17)</f>
        <v>5247</v>
      </c>
      <c r="I18" s="6">
        <f t="shared" si="1"/>
        <v>4855</v>
      </c>
      <c r="J18" s="6">
        <f t="shared" si="1"/>
        <v>5712</v>
      </c>
      <c r="K18" s="6">
        <f t="shared" si="1"/>
        <v>6704</v>
      </c>
      <c r="L18" s="6">
        <f t="shared" si="1"/>
        <v>0</v>
      </c>
      <c r="R18" s="2">
        <f>SUM(R3:R17)</f>
        <v>11</v>
      </c>
      <c r="S18" s="2">
        <f>SUM(S3:S17)</f>
        <v>0</v>
      </c>
      <c r="T18" s="2">
        <f>SUM(T3:T17)</f>
        <v>4</v>
      </c>
    </row>
    <row r="19" spans="2:20" ht="15.75">
      <c r="B19" s="1" t="s">
        <v>249</v>
      </c>
      <c r="C19" s="6"/>
      <c r="D19" s="6">
        <f>COUNT(D3:D14)+COUNT(D16:D17)</f>
        <v>12</v>
      </c>
      <c r="E19" s="6">
        <f aca="true" t="shared" si="2" ref="E19:K19">COUNT(E3:E17)</f>
        <v>14</v>
      </c>
      <c r="F19" s="6">
        <f>COUNT(F4:F16)</f>
        <v>8</v>
      </c>
      <c r="G19" s="6"/>
      <c r="H19" s="6">
        <f>COUNT(H3:H7)+COUNT(H9:H17)</f>
        <v>12</v>
      </c>
      <c r="I19" s="6">
        <f t="shared" si="2"/>
        <v>11</v>
      </c>
      <c r="J19" s="6">
        <f t="shared" si="2"/>
        <v>13</v>
      </c>
      <c r="K19" s="6">
        <f t="shared" si="2"/>
        <v>15</v>
      </c>
      <c r="L19" s="6"/>
      <c r="R19" s="2"/>
      <c r="S19" s="2"/>
      <c r="T19" s="2"/>
    </row>
    <row r="20" spans="2:19" ht="33" customHeight="1">
      <c r="B20" s="12" t="s">
        <v>129</v>
      </c>
      <c r="C20" s="17"/>
      <c r="D20" s="17">
        <f>D18/D19</f>
        <v>432.5</v>
      </c>
      <c r="E20" s="17">
        <f aca="true" t="shared" si="3" ref="E20:K20">AVERAGE(E3:E17)</f>
        <v>424.2142857142857</v>
      </c>
      <c r="F20" s="17">
        <f>AVERAGE(F4:F16)</f>
        <v>424</v>
      </c>
      <c r="G20" s="17"/>
      <c r="H20" s="17">
        <f>H18/H19</f>
        <v>437.25</v>
      </c>
      <c r="I20" s="17">
        <f t="shared" si="3"/>
        <v>441.3636363636364</v>
      </c>
      <c r="J20" s="17">
        <f t="shared" si="3"/>
        <v>439.38461538461536</v>
      </c>
      <c r="K20" s="17">
        <f t="shared" si="3"/>
        <v>446.93333333333334</v>
      </c>
      <c r="L20" s="17"/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R20" s="105" t="s">
        <v>128</v>
      </c>
      <c r="S20" s="105" t="s">
        <v>247</v>
      </c>
    </row>
    <row r="21" spans="13:19" ht="15.75">
      <c r="M21" s="6">
        <f>SUM(M3:M17)</f>
        <v>39042</v>
      </c>
      <c r="N21" s="1">
        <f>SUM(N3:N17)</f>
        <v>77</v>
      </c>
      <c r="O21" s="1">
        <f>SUM(O3:O17)</f>
        <v>43</v>
      </c>
      <c r="P21" s="1">
        <f>SUM(P3:P17)</f>
        <v>1228</v>
      </c>
      <c r="Q21" s="1">
        <f>SUM(Q3:Q17)</f>
        <v>22</v>
      </c>
      <c r="R21" s="2">
        <f>N21-O21</f>
        <v>34</v>
      </c>
      <c r="S21" s="2">
        <f>SUM(R18:T18)</f>
        <v>15</v>
      </c>
    </row>
    <row r="22" spans="3:4" ht="15.75">
      <c r="C22" s="270" t="s">
        <v>40</v>
      </c>
      <c r="D22" s="270"/>
    </row>
    <row r="23" spans="3:14" ht="15.75">
      <c r="C23" s="268" t="s">
        <v>134</v>
      </c>
      <c r="D23" s="268"/>
      <c r="M23" s="1" t="s">
        <v>130</v>
      </c>
      <c r="N23" s="19">
        <f>M21/S21</f>
        <v>2602.8</v>
      </c>
    </row>
    <row r="24" spans="3:14" ht="15.75">
      <c r="C24" s="269" t="s">
        <v>135</v>
      </c>
      <c r="D24" s="269"/>
      <c r="M24" s="1" t="s">
        <v>260</v>
      </c>
      <c r="N24" s="6">
        <f>M4+M6+M8+M11+M13+M15+M17+M30+M32+M34+M35+M37+M39+M41+M43</f>
        <v>38658</v>
      </c>
    </row>
    <row r="25" spans="9:13" ht="15.75">
      <c r="I25" s="262" t="s">
        <v>154</v>
      </c>
      <c r="J25" s="262"/>
      <c r="K25" s="12" t="s">
        <v>155</v>
      </c>
      <c r="L25" s="262" t="s">
        <v>128</v>
      </c>
      <c r="M25" s="262"/>
    </row>
    <row r="26" spans="1:13" ht="15.75">
      <c r="A26" s="73" t="s">
        <v>144</v>
      </c>
      <c r="B26" s="74"/>
      <c r="C26" s="74" t="s">
        <v>150</v>
      </c>
      <c r="D26" s="74" t="s">
        <v>142</v>
      </c>
      <c r="E26" s="266" t="s">
        <v>146</v>
      </c>
      <c r="F26" s="266"/>
      <c r="I26" s="1">
        <f>N21+N45</f>
        <v>150</v>
      </c>
      <c r="J26" s="1">
        <f>O21+O45</f>
        <v>90</v>
      </c>
      <c r="K26" s="51">
        <f>Q21+Q45</f>
        <v>44</v>
      </c>
      <c r="L26" s="267">
        <f>I26-J26</f>
        <v>60</v>
      </c>
      <c r="M26" s="267"/>
    </row>
    <row r="27" ht="15.75">
      <c r="F27" s="56"/>
    </row>
    <row r="29" spans="2:20" ht="32.25" thickBot="1">
      <c r="B29" s="3" t="s">
        <v>25</v>
      </c>
      <c r="C29" s="9" t="s">
        <v>106</v>
      </c>
      <c r="D29" s="9" t="s">
        <v>108</v>
      </c>
      <c r="E29" s="9" t="s">
        <v>109</v>
      </c>
      <c r="F29" s="9" t="s">
        <v>110</v>
      </c>
      <c r="G29" s="9" t="s">
        <v>186</v>
      </c>
      <c r="H29" s="9" t="s">
        <v>111</v>
      </c>
      <c r="I29" s="9" t="s">
        <v>138</v>
      </c>
      <c r="J29" s="9" t="s">
        <v>188</v>
      </c>
      <c r="K29" s="69" t="s">
        <v>244</v>
      </c>
      <c r="L29" s="9" t="s">
        <v>285</v>
      </c>
      <c r="M29" s="3" t="s">
        <v>30</v>
      </c>
      <c r="N29" s="3" t="s">
        <v>16</v>
      </c>
      <c r="O29" s="3" t="s">
        <v>29</v>
      </c>
      <c r="P29" s="3" t="s">
        <v>31</v>
      </c>
      <c r="Q29" s="11" t="s">
        <v>116</v>
      </c>
      <c r="R29" s="2" t="s">
        <v>191</v>
      </c>
      <c r="S29" s="2" t="s">
        <v>192</v>
      </c>
      <c r="T29" s="2" t="s">
        <v>193</v>
      </c>
    </row>
    <row r="30" spans="1:18" s="158" customFormat="1" ht="15.75">
      <c r="A30" s="154" t="s">
        <v>221</v>
      </c>
      <c r="B30" s="154" t="s">
        <v>21</v>
      </c>
      <c r="C30" s="72"/>
      <c r="D30" s="48"/>
      <c r="E30" s="48">
        <v>445</v>
      </c>
      <c r="F30" s="48">
        <v>437</v>
      </c>
      <c r="G30" s="48"/>
      <c r="H30" s="48">
        <v>419</v>
      </c>
      <c r="I30" s="93">
        <v>459</v>
      </c>
      <c r="J30" s="93">
        <v>464</v>
      </c>
      <c r="K30" s="93">
        <v>471</v>
      </c>
      <c r="L30" s="48"/>
      <c r="M30" s="156">
        <f>SUM(C30:K30)</f>
        <v>2695</v>
      </c>
      <c r="N30" s="154">
        <v>5</v>
      </c>
      <c r="O30" s="154">
        <v>3</v>
      </c>
      <c r="P30" s="154">
        <v>3</v>
      </c>
      <c r="Q30" s="154">
        <v>2</v>
      </c>
      <c r="R30" s="158">
        <v>1</v>
      </c>
    </row>
    <row r="31" spans="1:20" s="148" customFormat="1" ht="15.75">
      <c r="A31" s="144" t="s">
        <v>222</v>
      </c>
      <c r="B31" s="149" t="s">
        <v>24</v>
      </c>
      <c r="C31" s="166"/>
      <c r="D31" s="182">
        <v>460</v>
      </c>
      <c r="E31" s="182">
        <v>468</v>
      </c>
      <c r="F31" s="165"/>
      <c r="G31" s="165"/>
      <c r="H31" s="182">
        <v>440</v>
      </c>
      <c r="I31" s="165">
        <v>414</v>
      </c>
      <c r="J31" s="165">
        <v>427</v>
      </c>
      <c r="K31" s="165">
        <v>434</v>
      </c>
      <c r="L31" s="165"/>
      <c r="M31" s="146">
        <f>SUM(C31:L31)</f>
        <v>2643</v>
      </c>
      <c r="N31" s="144">
        <v>3</v>
      </c>
      <c r="O31" s="144">
        <v>5</v>
      </c>
      <c r="P31" s="144">
        <v>-14</v>
      </c>
      <c r="Q31" s="144">
        <v>0</v>
      </c>
      <c r="T31" s="148">
        <v>1</v>
      </c>
    </row>
    <row r="32" spans="1:20" s="158" customFormat="1" ht="15.75">
      <c r="A32" s="154" t="s">
        <v>156</v>
      </c>
      <c r="B32" s="154" t="s">
        <v>20</v>
      </c>
      <c r="C32" s="72">
        <v>392</v>
      </c>
      <c r="D32" s="48">
        <v>390</v>
      </c>
      <c r="E32" s="93">
        <v>440</v>
      </c>
      <c r="F32" s="93">
        <v>438</v>
      </c>
      <c r="G32" s="48"/>
      <c r="H32" s="48"/>
      <c r="I32" s="93">
        <v>434</v>
      </c>
      <c r="J32" s="48"/>
      <c r="K32" s="48">
        <v>254</v>
      </c>
      <c r="L32" s="48"/>
      <c r="M32" s="156">
        <f>SUM(C32:K32)</f>
        <v>2348</v>
      </c>
      <c r="N32" s="154">
        <v>3</v>
      </c>
      <c r="O32" s="154">
        <v>5</v>
      </c>
      <c r="P32" s="154">
        <f>M32-2564</f>
        <v>-216</v>
      </c>
      <c r="Q32" s="154">
        <v>0</v>
      </c>
      <c r="T32" s="158">
        <v>1</v>
      </c>
    </row>
    <row r="33" spans="1:18" s="148" customFormat="1" ht="15.75">
      <c r="A33" s="144" t="s">
        <v>157</v>
      </c>
      <c r="B33" s="144" t="s">
        <v>18</v>
      </c>
      <c r="C33" s="166"/>
      <c r="D33" s="182">
        <v>431</v>
      </c>
      <c r="E33" s="182">
        <v>431</v>
      </c>
      <c r="F33" s="165"/>
      <c r="G33" s="165"/>
      <c r="H33" s="182">
        <v>454</v>
      </c>
      <c r="I33" s="165">
        <v>431</v>
      </c>
      <c r="J33" s="165">
        <v>420</v>
      </c>
      <c r="K33" s="165"/>
      <c r="L33" s="165">
        <v>424</v>
      </c>
      <c r="M33" s="146">
        <f>SUM(C33:L33)</f>
        <v>2591</v>
      </c>
      <c r="N33" s="144">
        <v>5</v>
      </c>
      <c r="O33" s="144">
        <v>3</v>
      </c>
      <c r="P33" s="144">
        <f>M33-2554</f>
        <v>37</v>
      </c>
      <c r="Q33" s="144">
        <v>2</v>
      </c>
      <c r="R33" s="148">
        <v>1</v>
      </c>
    </row>
    <row r="34" spans="1:20" s="158" customFormat="1" ht="15.75">
      <c r="A34" s="154" t="s">
        <v>158</v>
      </c>
      <c r="B34" s="154" t="s">
        <v>26</v>
      </c>
      <c r="C34" s="72"/>
      <c r="D34" s="93">
        <v>453</v>
      </c>
      <c r="E34" s="93">
        <v>457</v>
      </c>
      <c r="F34" s="48">
        <v>450</v>
      </c>
      <c r="G34" s="48"/>
      <c r="H34" s="48">
        <v>428</v>
      </c>
      <c r="I34" s="48">
        <v>426</v>
      </c>
      <c r="J34" s="48"/>
      <c r="K34" s="48"/>
      <c r="L34" s="93">
        <v>450</v>
      </c>
      <c r="M34" s="156">
        <f>SUM(C34:L34)</f>
        <v>2664</v>
      </c>
      <c r="N34" s="154">
        <v>3</v>
      </c>
      <c r="O34" s="154">
        <v>5</v>
      </c>
      <c r="P34" s="154">
        <v>-38</v>
      </c>
      <c r="Q34" s="154">
        <v>0</v>
      </c>
      <c r="T34" s="158">
        <v>1</v>
      </c>
    </row>
    <row r="35" spans="1:18" s="158" customFormat="1" ht="15.75">
      <c r="A35" s="154" t="s">
        <v>159</v>
      </c>
      <c r="B35" s="154" t="s">
        <v>223</v>
      </c>
      <c r="C35" s="72"/>
      <c r="D35" s="48">
        <v>393</v>
      </c>
      <c r="E35" s="48"/>
      <c r="F35" s="93">
        <v>443</v>
      </c>
      <c r="G35" s="48"/>
      <c r="H35" s="48">
        <v>402</v>
      </c>
      <c r="I35" s="48">
        <v>399</v>
      </c>
      <c r="J35" s="93">
        <v>443</v>
      </c>
      <c r="K35" s="48"/>
      <c r="L35" s="93">
        <v>460</v>
      </c>
      <c r="M35" s="156">
        <f aca="true" t="shared" si="4" ref="M35:M43">SUM(C35:L35)</f>
        <v>2540</v>
      </c>
      <c r="N35" s="154">
        <v>5</v>
      </c>
      <c r="O35" s="154">
        <v>3</v>
      </c>
      <c r="P35" s="154">
        <f>M35-2461</f>
        <v>79</v>
      </c>
      <c r="Q35" s="154">
        <v>2</v>
      </c>
      <c r="R35" s="158">
        <v>1</v>
      </c>
    </row>
    <row r="36" spans="1:18" s="148" customFormat="1" ht="15.75">
      <c r="A36" s="144" t="s">
        <v>160</v>
      </c>
      <c r="B36" s="144" t="s">
        <v>22</v>
      </c>
      <c r="C36" s="166">
        <v>418</v>
      </c>
      <c r="D36" s="165">
        <v>408</v>
      </c>
      <c r="E36" s="182">
        <v>421</v>
      </c>
      <c r="F36" s="165"/>
      <c r="G36" s="165"/>
      <c r="H36" s="165"/>
      <c r="I36" s="182">
        <v>426</v>
      </c>
      <c r="J36" s="182">
        <v>463</v>
      </c>
      <c r="K36" s="182">
        <v>430</v>
      </c>
      <c r="L36" s="165"/>
      <c r="M36" s="146">
        <f t="shared" si="4"/>
        <v>2566</v>
      </c>
      <c r="N36" s="144">
        <v>6</v>
      </c>
      <c r="O36" s="144">
        <v>2</v>
      </c>
      <c r="P36" s="144">
        <v>119</v>
      </c>
      <c r="Q36" s="144">
        <v>2</v>
      </c>
      <c r="R36" s="148">
        <v>1</v>
      </c>
    </row>
    <row r="37" spans="1:18" s="158" customFormat="1" ht="15.75">
      <c r="A37" s="154" t="s">
        <v>161</v>
      </c>
      <c r="B37" s="154" t="s">
        <v>15</v>
      </c>
      <c r="C37" s="72"/>
      <c r="D37" s="48"/>
      <c r="E37" s="93">
        <v>451</v>
      </c>
      <c r="F37" s="93">
        <v>443</v>
      </c>
      <c r="G37" s="48"/>
      <c r="H37" s="48"/>
      <c r="I37" s="93">
        <v>425</v>
      </c>
      <c r="J37" s="48">
        <v>405</v>
      </c>
      <c r="K37" s="48">
        <v>412</v>
      </c>
      <c r="L37" s="93">
        <v>460</v>
      </c>
      <c r="M37" s="156">
        <f t="shared" si="4"/>
        <v>2596</v>
      </c>
      <c r="N37" s="154">
        <v>6</v>
      </c>
      <c r="O37" s="154">
        <v>2</v>
      </c>
      <c r="P37" s="154">
        <v>70</v>
      </c>
      <c r="Q37" s="154">
        <v>2</v>
      </c>
      <c r="R37" s="158">
        <v>1</v>
      </c>
    </row>
    <row r="38" spans="1:18" s="148" customFormat="1" ht="15.75">
      <c r="A38" s="144" t="s">
        <v>162</v>
      </c>
      <c r="B38" s="144" t="s">
        <v>17</v>
      </c>
      <c r="C38" s="166"/>
      <c r="D38" s="165">
        <v>417</v>
      </c>
      <c r="E38" s="182">
        <v>450</v>
      </c>
      <c r="F38" s="165"/>
      <c r="G38" s="165"/>
      <c r="H38" s="182">
        <v>450</v>
      </c>
      <c r="I38" s="182">
        <v>458</v>
      </c>
      <c r="J38" s="182">
        <v>445</v>
      </c>
      <c r="K38" s="182">
        <v>453</v>
      </c>
      <c r="L38" s="165"/>
      <c r="M38" s="146">
        <f t="shared" si="4"/>
        <v>2673</v>
      </c>
      <c r="N38" s="144">
        <v>7</v>
      </c>
      <c r="O38" s="144">
        <v>1</v>
      </c>
      <c r="P38" s="144">
        <f>M38-2536</f>
        <v>137</v>
      </c>
      <c r="Q38" s="144">
        <v>2</v>
      </c>
      <c r="R38" s="148">
        <v>1</v>
      </c>
    </row>
    <row r="39" spans="1:18" s="158" customFormat="1" ht="15.75">
      <c r="A39" s="154" t="s">
        <v>163</v>
      </c>
      <c r="B39" s="154" t="s">
        <v>218</v>
      </c>
      <c r="C39" s="72"/>
      <c r="D39" s="48"/>
      <c r="E39" s="48">
        <v>381</v>
      </c>
      <c r="F39" s="48">
        <v>375</v>
      </c>
      <c r="G39" s="48"/>
      <c r="H39" s="48">
        <v>371</v>
      </c>
      <c r="I39" s="93">
        <v>439</v>
      </c>
      <c r="J39" s="48"/>
      <c r="K39" s="93">
        <v>414</v>
      </c>
      <c r="L39" s="93">
        <v>404</v>
      </c>
      <c r="M39" s="156">
        <f t="shared" si="4"/>
        <v>2384</v>
      </c>
      <c r="N39" s="154">
        <v>5</v>
      </c>
      <c r="O39" s="154">
        <v>3</v>
      </c>
      <c r="P39" s="154">
        <v>101</v>
      </c>
      <c r="Q39" s="154">
        <v>2</v>
      </c>
      <c r="R39" s="158">
        <v>1</v>
      </c>
    </row>
    <row r="40" spans="1:18" s="148" customFormat="1" ht="15.75">
      <c r="A40" s="144" t="s">
        <v>164</v>
      </c>
      <c r="B40" s="144" t="s">
        <v>23</v>
      </c>
      <c r="C40" s="166"/>
      <c r="D40" s="165"/>
      <c r="E40" s="165">
        <v>422</v>
      </c>
      <c r="F40" s="165"/>
      <c r="G40" s="165"/>
      <c r="H40" s="225">
        <v>439</v>
      </c>
      <c r="I40" s="225">
        <v>457</v>
      </c>
      <c r="J40" s="225">
        <v>450</v>
      </c>
      <c r="K40" s="166">
        <v>409</v>
      </c>
      <c r="L40" s="225">
        <v>448</v>
      </c>
      <c r="M40" s="146">
        <f t="shared" si="4"/>
        <v>2625</v>
      </c>
      <c r="N40" s="144">
        <v>6</v>
      </c>
      <c r="O40" s="144">
        <v>2</v>
      </c>
      <c r="P40" s="144">
        <v>132</v>
      </c>
      <c r="Q40" s="144">
        <v>2</v>
      </c>
      <c r="R40" s="148">
        <v>1</v>
      </c>
    </row>
    <row r="41" spans="1:20" s="158" customFormat="1" ht="15.75">
      <c r="A41" s="154" t="s">
        <v>165</v>
      </c>
      <c r="B41" s="154" t="s">
        <v>217</v>
      </c>
      <c r="C41" s="72"/>
      <c r="D41" s="48"/>
      <c r="E41" s="48">
        <v>406</v>
      </c>
      <c r="F41" s="48">
        <v>414</v>
      </c>
      <c r="G41" s="48"/>
      <c r="H41" s="48"/>
      <c r="I41" s="228">
        <v>431</v>
      </c>
      <c r="J41" s="48">
        <v>429</v>
      </c>
      <c r="K41" s="228">
        <v>443</v>
      </c>
      <c r="L41" s="228">
        <v>472</v>
      </c>
      <c r="M41" s="156">
        <f t="shared" si="4"/>
        <v>2595</v>
      </c>
      <c r="N41" s="154">
        <v>3</v>
      </c>
      <c r="O41" s="154">
        <v>5</v>
      </c>
      <c r="P41" s="154">
        <f>M41-2609</f>
        <v>-14</v>
      </c>
      <c r="Q41" s="154">
        <v>0</v>
      </c>
      <c r="T41" s="158">
        <v>1</v>
      </c>
    </row>
    <row r="42" spans="1:18" s="148" customFormat="1" ht="15.75">
      <c r="A42" s="144" t="s">
        <v>166</v>
      </c>
      <c r="B42" s="144" t="s">
        <v>204</v>
      </c>
      <c r="C42" s="166"/>
      <c r="D42" s="225">
        <v>446</v>
      </c>
      <c r="E42" s="165">
        <v>406</v>
      </c>
      <c r="F42" s="165"/>
      <c r="G42" s="165"/>
      <c r="H42" s="225">
        <v>455</v>
      </c>
      <c r="I42" s="225">
        <v>453</v>
      </c>
      <c r="J42" s="165">
        <v>410</v>
      </c>
      <c r="K42" s="166"/>
      <c r="L42" s="225">
        <v>422</v>
      </c>
      <c r="M42" s="146">
        <f t="shared" si="4"/>
        <v>2592</v>
      </c>
      <c r="N42" s="144">
        <v>6</v>
      </c>
      <c r="O42" s="144">
        <v>2</v>
      </c>
      <c r="P42" s="144">
        <v>128</v>
      </c>
      <c r="Q42" s="144">
        <v>2</v>
      </c>
      <c r="R42" s="148">
        <v>1</v>
      </c>
    </row>
    <row r="43" spans="1:18" s="158" customFormat="1" ht="15.75">
      <c r="A43" s="154" t="s">
        <v>167</v>
      </c>
      <c r="B43" s="154" t="s">
        <v>214</v>
      </c>
      <c r="C43" s="72">
        <v>169</v>
      </c>
      <c r="D43" s="48">
        <v>245</v>
      </c>
      <c r="E43" s="48"/>
      <c r="F43" s="48">
        <v>383</v>
      </c>
      <c r="G43" s="48"/>
      <c r="H43" s="48"/>
      <c r="I43" s="228">
        <v>417</v>
      </c>
      <c r="J43" s="48">
        <v>412</v>
      </c>
      <c r="K43" s="228">
        <v>442</v>
      </c>
      <c r="L43" s="228">
        <v>444</v>
      </c>
      <c r="M43" s="156">
        <f t="shared" si="4"/>
        <v>2512</v>
      </c>
      <c r="N43" s="154">
        <v>5</v>
      </c>
      <c r="O43" s="154">
        <v>3</v>
      </c>
      <c r="P43" s="154">
        <v>15</v>
      </c>
      <c r="Q43" s="154">
        <v>2</v>
      </c>
      <c r="R43" s="158">
        <v>1</v>
      </c>
    </row>
    <row r="44" spans="1:20" s="148" customFormat="1" ht="16.5" thickBot="1">
      <c r="A44" s="144" t="s">
        <v>168</v>
      </c>
      <c r="B44" s="144" t="s">
        <v>19</v>
      </c>
      <c r="C44" s="168"/>
      <c r="D44" s="167">
        <v>401</v>
      </c>
      <c r="E44" s="167">
        <v>418</v>
      </c>
      <c r="F44" s="167"/>
      <c r="G44" s="167"/>
      <c r="H44" s="233">
        <v>431</v>
      </c>
      <c r="I44" s="167"/>
      <c r="J44" s="167">
        <v>416</v>
      </c>
      <c r="K44" s="233">
        <v>460</v>
      </c>
      <c r="L44" s="233">
        <v>441</v>
      </c>
      <c r="M44" s="152">
        <f>SUM(B44:L44)</f>
        <v>2567</v>
      </c>
      <c r="N44" s="151">
        <v>5</v>
      </c>
      <c r="O44" s="151">
        <v>3</v>
      </c>
      <c r="P44" s="151">
        <v>56</v>
      </c>
      <c r="Q44" s="151">
        <v>2</v>
      </c>
      <c r="R44" s="180">
        <v>1</v>
      </c>
      <c r="S44" s="180"/>
      <c r="T44" s="180"/>
    </row>
    <row r="45" spans="3:20" ht="16.5" thickTop="1">
      <c r="C45" s="81">
        <f>SUM(C30:C42)</f>
        <v>810</v>
      </c>
      <c r="D45" s="81">
        <f>SUM(D30:D42)</f>
        <v>3398</v>
      </c>
      <c r="E45" s="81">
        <f aca="true" t="shared" si="5" ref="E45:L45">SUM(E30:E44)</f>
        <v>5596</v>
      </c>
      <c r="F45" s="81">
        <f t="shared" si="5"/>
        <v>3383</v>
      </c>
      <c r="G45" s="81">
        <f t="shared" si="5"/>
        <v>0</v>
      </c>
      <c r="H45" s="81">
        <f t="shared" si="5"/>
        <v>4289</v>
      </c>
      <c r="I45" s="81">
        <f t="shared" si="5"/>
        <v>6069</v>
      </c>
      <c r="J45" s="81">
        <f t="shared" si="5"/>
        <v>5184</v>
      </c>
      <c r="K45" s="81">
        <f>SUM(K30:K31)+SUM(K33:K44)</f>
        <v>4368</v>
      </c>
      <c r="L45" s="81">
        <f t="shared" si="5"/>
        <v>4425</v>
      </c>
      <c r="N45" s="1">
        <f>SUM(N30:N44)</f>
        <v>73</v>
      </c>
      <c r="O45" s="1">
        <f>SUM(O30:O44)</f>
        <v>47</v>
      </c>
      <c r="P45" s="1">
        <f>SUM(P30:P44)</f>
        <v>595</v>
      </c>
      <c r="Q45" s="1">
        <f>SUM(Q30:Q44)</f>
        <v>22</v>
      </c>
      <c r="R45" s="1">
        <f>SUM(R30:R44)+R18</f>
        <v>22</v>
      </c>
      <c r="S45" s="1">
        <f>SUM(S30:S44)+S18</f>
        <v>0</v>
      </c>
      <c r="T45" s="1">
        <f>SUM(T30:T44)+T18</f>
        <v>8</v>
      </c>
    </row>
    <row r="46" spans="2:12" ht="31.5">
      <c r="B46" s="83" t="s">
        <v>279</v>
      </c>
      <c r="C46" s="1">
        <f>COUNT(C30:C42)</f>
        <v>2</v>
      </c>
      <c r="D46" s="1">
        <f>COUNT(D30:D42)</f>
        <v>8</v>
      </c>
      <c r="E46" s="1">
        <f aca="true" t="shared" si="6" ref="E46:L46">COUNT(E30:E44)</f>
        <v>13</v>
      </c>
      <c r="F46" s="1">
        <f t="shared" si="6"/>
        <v>8</v>
      </c>
      <c r="G46" s="1">
        <f t="shared" si="6"/>
        <v>0</v>
      </c>
      <c r="H46" s="1">
        <f t="shared" si="6"/>
        <v>10</v>
      </c>
      <c r="I46" s="1">
        <f t="shared" si="6"/>
        <v>14</v>
      </c>
      <c r="J46" s="1">
        <f t="shared" si="6"/>
        <v>12</v>
      </c>
      <c r="K46" s="1">
        <f>COUNT(K30:K31)+COUNT(K33:K44)</f>
        <v>10</v>
      </c>
      <c r="L46" s="1">
        <f t="shared" si="6"/>
        <v>10</v>
      </c>
    </row>
    <row r="47" spans="2:20" ht="31.5">
      <c r="B47" s="12" t="s">
        <v>275</v>
      </c>
      <c r="C47" s="17">
        <f aca="true" t="shared" si="7" ref="C47:L47">C45/C46</f>
        <v>405</v>
      </c>
      <c r="D47" s="17">
        <f t="shared" si="7"/>
        <v>424.75</v>
      </c>
      <c r="E47" s="17">
        <f t="shared" si="7"/>
        <v>430.46153846153845</v>
      </c>
      <c r="F47" s="17">
        <f t="shared" si="7"/>
        <v>422.875</v>
      </c>
      <c r="G47" s="17"/>
      <c r="H47" s="17">
        <f t="shared" si="7"/>
        <v>428.9</v>
      </c>
      <c r="I47" s="17">
        <f t="shared" si="7"/>
        <v>433.5</v>
      </c>
      <c r="J47" s="17">
        <f t="shared" si="7"/>
        <v>432</v>
      </c>
      <c r="K47" s="17">
        <f t="shared" si="7"/>
        <v>436.8</v>
      </c>
      <c r="L47" s="17">
        <f t="shared" si="7"/>
        <v>442.5</v>
      </c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3:20" ht="15.75">
      <c r="M48" s="6">
        <f>SUM(M30:M44)+M21</f>
        <v>77633</v>
      </c>
      <c r="N48" s="6">
        <f>SUM(N30:N44)+N21</f>
        <v>150</v>
      </c>
      <c r="O48" s="6">
        <f>SUM(O30:O44)+O21</f>
        <v>90</v>
      </c>
      <c r="P48" s="6">
        <f>SUM(P30:P44)+P21</f>
        <v>1823</v>
      </c>
      <c r="Q48" s="6">
        <f>SUM(Q30:Q44)+Q21</f>
        <v>44</v>
      </c>
      <c r="S48" s="71">
        <f>N48-O48</f>
        <v>60</v>
      </c>
      <c r="T48" s="2">
        <f>SUM(R45:T45)</f>
        <v>30</v>
      </c>
    </row>
    <row r="50" spans="13:14" ht="15.75">
      <c r="M50" s="1" t="s">
        <v>130</v>
      </c>
      <c r="N50" s="19">
        <f>M48/T48</f>
        <v>2587.766666666667</v>
      </c>
    </row>
  </sheetData>
  <sheetProtection/>
  <mergeCells count="11">
    <mergeCell ref="C1:J1"/>
    <mergeCell ref="N1:O1"/>
    <mergeCell ref="C22:D22"/>
    <mergeCell ref="N20:O20"/>
    <mergeCell ref="C23:D23"/>
    <mergeCell ref="N47:O47"/>
    <mergeCell ref="E26:F26"/>
    <mergeCell ref="I25:J25"/>
    <mergeCell ref="L25:M25"/>
    <mergeCell ref="L26:M26"/>
    <mergeCell ref="C24:D24"/>
  </mergeCells>
  <printOptions/>
  <pageMargins left="0.75" right="0.75" top="1" bottom="1" header="0.5" footer="0.5"/>
  <pageSetup horizontalDpi="600" verticalDpi="600" orientation="portrait" paperSize="9" r:id="rId1"/>
  <ignoredErrors>
    <ignoredError sqref="M4 M6 H18:H20" formula="1"/>
    <ignoredError sqref="F18:F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zoomScale="90" zoomScaleNormal="90" zoomScalePageLayoutView="0" workbookViewId="0" topLeftCell="A25">
      <selection activeCell="J40" sqref="J40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4" width="9.25390625" style="1" bestFit="1" customWidth="1"/>
    <col min="5" max="5" width="16.00390625" style="1" bestFit="1" customWidth="1"/>
    <col min="6" max="10" width="9.25390625" style="1" bestFit="1" customWidth="1"/>
    <col min="11" max="11" width="11.25390625" style="1" customWidth="1"/>
    <col min="12" max="12" width="10.75390625" style="1" customWidth="1"/>
    <col min="13" max="13" width="16.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2.25390625" style="1" customWidth="1"/>
    <col min="18" max="18" width="10.375" style="0" bestFit="1" customWidth="1"/>
    <col min="19" max="19" width="12.125" style="0" customWidth="1"/>
    <col min="20" max="20" width="10.25390625" style="0" customWidth="1"/>
  </cols>
  <sheetData>
    <row r="1" spans="3:20" ht="15.75">
      <c r="C1" s="265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N1" s="265" t="s">
        <v>28</v>
      </c>
      <c r="O1" s="265"/>
      <c r="R1" s="2"/>
      <c r="S1" s="2"/>
      <c r="T1" s="2"/>
    </row>
    <row r="2" spans="2:20" ht="32.25" thickBot="1">
      <c r="B2" s="3" t="s">
        <v>25</v>
      </c>
      <c r="C2" s="9" t="s">
        <v>92</v>
      </c>
      <c r="D2" s="9" t="s">
        <v>93</v>
      </c>
      <c r="E2" s="9" t="s">
        <v>94</v>
      </c>
      <c r="F2" s="9" t="s">
        <v>95</v>
      </c>
      <c r="G2" s="9" t="s">
        <v>96</v>
      </c>
      <c r="H2" s="9" t="s">
        <v>97</v>
      </c>
      <c r="I2" s="9" t="s">
        <v>99</v>
      </c>
      <c r="J2" s="9" t="s">
        <v>199</v>
      </c>
      <c r="K2" s="9" t="s">
        <v>200</v>
      </c>
      <c r="M2" s="3" t="s">
        <v>30</v>
      </c>
      <c r="N2" s="3" t="s">
        <v>18</v>
      </c>
      <c r="O2" s="3" t="s">
        <v>29</v>
      </c>
      <c r="P2" s="3" t="s">
        <v>31</v>
      </c>
      <c r="Q2" s="11" t="s">
        <v>116</v>
      </c>
      <c r="R2" s="2" t="s">
        <v>191</v>
      </c>
      <c r="S2" s="2" t="s">
        <v>192</v>
      </c>
      <c r="T2" s="2" t="s">
        <v>193</v>
      </c>
    </row>
    <row r="3" spans="1:20" s="25" customFormat="1" ht="15.75">
      <c r="A3" s="20" t="s">
        <v>0</v>
      </c>
      <c r="B3" s="20" t="s">
        <v>204</v>
      </c>
      <c r="C3" s="92">
        <v>488</v>
      </c>
      <c r="D3" s="92">
        <v>465</v>
      </c>
      <c r="E3" s="47">
        <v>170</v>
      </c>
      <c r="F3" s="47">
        <v>410</v>
      </c>
      <c r="G3" s="47"/>
      <c r="H3" s="47">
        <v>173</v>
      </c>
      <c r="I3" s="47">
        <v>408</v>
      </c>
      <c r="J3" s="47"/>
      <c r="K3" s="92">
        <v>435</v>
      </c>
      <c r="L3" s="39"/>
      <c r="M3" s="23">
        <f>SUM(C3:L3)</f>
        <v>2549</v>
      </c>
      <c r="N3" s="20">
        <v>5</v>
      </c>
      <c r="O3" s="20">
        <v>3</v>
      </c>
      <c r="P3" s="20">
        <v>116</v>
      </c>
      <c r="Q3" s="20">
        <v>2</v>
      </c>
      <c r="R3" s="24">
        <v>1</v>
      </c>
      <c r="S3" s="24"/>
      <c r="T3" s="24"/>
    </row>
    <row r="4" spans="1:20" s="34" customFormat="1" ht="15.75">
      <c r="A4" s="29" t="s">
        <v>1</v>
      </c>
      <c r="B4" s="29" t="s">
        <v>217</v>
      </c>
      <c r="C4" s="93">
        <v>447</v>
      </c>
      <c r="D4" s="93">
        <v>498</v>
      </c>
      <c r="E4" s="48">
        <v>357</v>
      </c>
      <c r="F4" s="93">
        <v>431</v>
      </c>
      <c r="G4" s="48"/>
      <c r="H4" s="48">
        <v>417</v>
      </c>
      <c r="I4" s="48"/>
      <c r="J4" s="48"/>
      <c r="K4" s="48">
        <v>406</v>
      </c>
      <c r="L4" s="44"/>
      <c r="M4" s="32">
        <f aca="true" t="shared" si="0" ref="M4:M17">SUM(C4:L4)</f>
        <v>2556</v>
      </c>
      <c r="N4" s="29">
        <v>3</v>
      </c>
      <c r="O4" s="29">
        <v>5</v>
      </c>
      <c r="P4" s="32">
        <f>M4-2571</f>
        <v>-15</v>
      </c>
      <c r="Q4" s="29">
        <v>0</v>
      </c>
      <c r="R4" s="33"/>
      <c r="S4" s="33"/>
      <c r="T4" s="33">
        <v>1</v>
      </c>
    </row>
    <row r="5" spans="1:20" s="25" customFormat="1" ht="15.75">
      <c r="A5" s="20" t="s">
        <v>2</v>
      </c>
      <c r="B5" s="20" t="s">
        <v>23</v>
      </c>
      <c r="C5" s="92">
        <v>497</v>
      </c>
      <c r="D5" s="47"/>
      <c r="E5" s="47">
        <v>352</v>
      </c>
      <c r="F5" s="92">
        <v>469</v>
      </c>
      <c r="G5" s="47"/>
      <c r="H5" s="47">
        <v>425</v>
      </c>
      <c r="I5" s="47">
        <v>423</v>
      </c>
      <c r="J5" s="47"/>
      <c r="K5" s="47">
        <v>418</v>
      </c>
      <c r="L5" s="39"/>
      <c r="M5" s="23">
        <f t="shared" si="0"/>
        <v>2584</v>
      </c>
      <c r="N5" s="20">
        <v>2</v>
      </c>
      <c r="O5" s="20">
        <v>6</v>
      </c>
      <c r="P5" s="23">
        <f>M5-2612</f>
        <v>-28</v>
      </c>
      <c r="Q5" s="20">
        <v>0</v>
      </c>
      <c r="R5" s="24"/>
      <c r="S5" s="24"/>
      <c r="T5" s="24">
        <v>1</v>
      </c>
    </row>
    <row r="6" spans="1:20" s="34" customFormat="1" ht="15.75">
      <c r="A6" s="29" t="s">
        <v>3</v>
      </c>
      <c r="B6" s="29" t="s">
        <v>218</v>
      </c>
      <c r="C6" s="93">
        <v>415</v>
      </c>
      <c r="D6" s="93">
        <v>451</v>
      </c>
      <c r="E6" s="48">
        <v>349</v>
      </c>
      <c r="F6" s="93">
        <v>384</v>
      </c>
      <c r="G6" s="48"/>
      <c r="H6" s="48"/>
      <c r="I6" s="48">
        <v>372</v>
      </c>
      <c r="J6" s="48"/>
      <c r="K6" s="93">
        <v>416</v>
      </c>
      <c r="L6" s="44"/>
      <c r="M6" s="32">
        <f t="shared" si="0"/>
        <v>2387</v>
      </c>
      <c r="N6" s="29">
        <v>6</v>
      </c>
      <c r="O6" s="29">
        <v>2</v>
      </c>
      <c r="P6" s="32">
        <f>M6-2210</f>
        <v>177</v>
      </c>
      <c r="Q6" s="29">
        <v>2</v>
      </c>
      <c r="R6" s="33">
        <v>1</v>
      </c>
      <c r="S6" s="33"/>
      <c r="T6" s="33"/>
    </row>
    <row r="7" spans="1:20" s="25" customFormat="1" ht="15.75">
      <c r="A7" s="20" t="s">
        <v>4</v>
      </c>
      <c r="B7" s="20" t="s">
        <v>17</v>
      </c>
      <c r="C7" s="92">
        <v>466</v>
      </c>
      <c r="D7" s="92">
        <v>467</v>
      </c>
      <c r="E7" s="47"/>
      <c r="F7" s="47">
        <v>419</v>
      </c>
      <c r="G7" s="47">
        <v>184</v>
      </c>
      <c r="H7" s="47">
        <v>187</v>
      </c>
      <c r="I7" s="92">
        <v>474</v>
      </c>
      <c r="J7" s="47"/>
      <c r="K7" s="47">
        <v>412</v>
      </c>
      <c r="L7" s="39"/>
      <c r="M7" s="23">
        <f t="shared" si="0"/>
        <v>2609</v>
      </c>
      <c r="N7" s="20">
        <v>5</v>
      </c>
      <c r="O7" s="20">
        <v>3</v>
      </c>
      <c r="P7" s="23">
        <v>49</v>
      </c>
      <c r="Q7" s="20">
        <v>2</v>
      </c>
      <c r="R7" s="24">
        <v>1</v>
      </c>
      <c r="S7" s="24"/>
      <c r="T7" s="24"/>
    </row>
    <row r="8" spans="1:20" s="34" customFormat="1" ht="15.75">
      <c r="A8" s="29" t="s">
        <v>5</v>
      </c>
      <c r="B8" s="29" t="s">
        <v>15</v>
      </c>
      <c r="C8" s="48">
        <v>415</v>
      </c>
      <c r="D8" s="93">
        <v>469</v>
      </c>
      <c r="E8" s="48"/>
      <c r="F8" s="48">
        <v>416</v>
      </c>
      <c r="G8" s="93">
        <v>436</v>
      </c>
      <c r="H8" s="48"/>
      <c r="I8" s="48">
        <v>393</v>
      </c>
      <c r="J8" s="48"/>
      <c r="K8" s="48">
        <v>418</v>
      </c>
      <c r="L8" s="44"/>
      <c r="M8" s="32">
        <f t="shared" si="0"/>
        <v>2547</v>
      </c>
      <c r="N8" s="29">
        <v>2</v>
      </c>
      <c r="O8" s="29">
        <v>6</v>
      </c>
      <c r="P8" s="32">
        <f>M8-2586</f>
        <v>-39</v>
      </c>
      <c r="Q8" s="29">
        <v>0</v>
      </c>
      <c r="R8" s="33"/>
      <c r="S8" s="33"/>
      <c r="T8" s="33">
        <v>1</v>
      </c>
    </row>
    <row r="9" spans="1:20" s="25" customFormat="1" ht="15.75">
      <c r="A9" s="20" t="s">
        <v>6</v>
      </c>
      <c r="B9" s="20" t="s">
        <v>22</v>
      </c>
      <c r="C9" s="92">
        <v>458</v>
      </c>
      <c r="D9" s="92">
        <v>499</v>
      </c>
      <c r="E9" s="47"/>
      <c r="F9" s="92">
        <v>409</v>
      </c>
      <c r="G9" s="47">
        <v>404</v>
      </c>
      <c r="H9" s="47"/>
      <c r="I9" s="92">
        <v>468</v>
      </c>
      <c r="J9" s="47"/>
      <c r="K9" s="92">
        <v>422</v>
      </c>
      <c r="L9" s="39"/>
      <c r="M9" s="23">
        <f t="shared" si="0"/>
        <v>2660</v>
      </c>
      <c r="N9" s="20">
        <v>7</v>
      </c>
      <c r="O9" s="20">
        <v>1</v>
      </c>
      <c r="P9" s="23">
        <v>305</v>
      </c>
      <c r="Q9" s="20">
        <v>2</v>
      </c>
      <c r="R9" s="24">
        <v>1</v>
      </c>
      <c r="S9" s="24"/>
      <c r="T9" s="24"/>
    </row>
    <row r="10" spans="1:20" s="34" customFormat="1" ht="15.75">
      <c r="A10" s="29" t="s">
        <v>7</v>
      </c>
      <c r="B10" s="29" t="s">
        <v>215</v>
      </c>
      <c r="C10" s="93">
        <v>453</v>
      </c>
      <c r="D10" s="93">
        <v>441</v>
      </c>
      <c r="E10" s="48"/>
      <c r="F10" s="93">
        <v>439</v>
      </c>
      <c r="G10" s="93">
        <v>441</v>
      </c>
      <c r="H10" s="48"/>
      <c r="I10" s="93">
        <v>426</v>
      </c>
      <c r="J10" s="48"/>
      <c r="K10" s="48">
        <v>406</v>
      </c>
      <c r="L10" s="44"/>
      <c r="M10" s="32">
        <f t="shared" si="0"/>
        <v>2606</v>
      </c>
      <c r="N10" s="29">
        <v>7</v>
      </c>
      <c r="O10" s="29">
        <v>1</v>
      </c>
      <c r="P10" s="32">
        <f>M10-2496</f>
        <v>110</v>
      </c>
      <c r="Q10" s="29">
        <v>2</v>
      </c>
      <c r="R10" s="33">
        <v>1</v>
      </c>
      <c r="S10" s="33"/>
      <c r="T10" s="33"/>
    </row>
    <row r="11" spans="1:20" s="25" customFormat="1" ht="15.75">
      <c r="A11" s="20" t="s">
        <v>8</v>
      </c>
      <c r="B11" s="20" t="s">
        <v>16</v>
      </c>
      <c r="C11" s="92">
        <v>446</v>
      </c>
      <c r="D11" s="47">
        <v>416</v>
      </c>
      <c r="E11" s="47"/>
      <c r="F11" s="47">
        <v>404</v>
      </c>
      <c r="G11" s="47">
        <v>408</v>
      </c>
      <c r="H11" s="47"/>
      <c r="I11" s="47">
        <v>426</v>
      </c>
      <c r="J11" s="47"/>
      <c r="K11" s="47">
        <v>420</v>
      </c>
      <c r="L11" s="39"/>
      <c r="M11" s="23">
        <f t="shared" si="0"/>
        <v>2520</v>
      </c>
      <c r="N11" s="20">
        <v>1</v>
      </c>
      <c r="O11" s="20">
        <v>7</v>
      </c>
      <c r="P11" s="23">
        <v>-99</v>
      </c>
      <c r="Q11" s="20">
        <v>0</v>
      </c>
      <c r="R11" s="24"/>
      <c r="S11" s="24"/>
      <c r="T11" s="24">
        <v>1</v>
      </c>
    </row>
    <row r="12" spans="1:20" s="25" customFormat="1" ht="15.75">
      <c r="A12" s="20" t="s">
        <v>9</v>
      </c>
      <c r="B12" s="20" t="s">
        <v>26</v>
      </c>
      <c r="C12" s="92">
        <v>466</v>
      </c>
      <c r="D12" s="92">
        <v>502</v>
      </c>
      <c r="E12" s="47"/>
      <c r="F12" s="47">
        <v>398</v>
      </c>
      <c r="G12" s="47">
        <v>393</v>
      </c>
      <c r="H12" s="47"/>
      <c r="I12" s="47">
        <v>422</v>
      </c>
      <c r="J12" s="47"/>
      <c r="K12" s="92">
        <v>427</v>
      </c>
      <c r="L12" s="39"/>
      <c r="M12" s="23">
        <f t="shared" si="0"/>
        <v>2608</v>
      </c>
      <c r="N12" s="20">
        <v>5</v>
      </c>
      <c r="O12" s="20">
        <v>3</v>
      </c>
      <c r="P12" s="20">
        <v>36</v>
      </c>
      <c r="Q12" s="20">
        <v>2</v>
      </c>
      <c r="R12" s="24">
        <v>1</v>
      </c>
      <c r="S12" s="24"/>
      <c r="T12" s="24"/>
    </row>
    <row r="13" spans="1:20" s="34" customFormat="1" ht="15.75">
      <c r="A13" s="29" t="s">
        <v>10</v>
      </c>
      <c r="B13" s="30" t="s">
        <v>20</v>
      </c>
      <c r="C13" s="52">
        <v>417</v>
      </c>
      <c r="D13" s="93">
        <v>478</v>
      </c>
      <c r="E13" s="48"/>
      <c r="F13" s="52">
        <v>429</v>
      </c>
      <c r="G13" s="97">
        <v>430</v>
      </c>
      <c r="H13" s="52"/>
      <c r="I13" s="52">
        <v>412</v>
      </c>
      <c r="J13" s="52"/>
      <c r="K13" s="97">
        <v>439</v>
      </c>
      <c r="L13" s="44"/>
      <c r="M13" s="32">
        <f t="shared" si="0"/>
        <v>2605</v>
      </c>
      <c r="N13" s="29">
        <v>5</v>
      </c>
      <c r="O13" s="29">
        <v>3</v>
      </c>
      <c r="P13" s="29">
        <v>24</v>
      </c>
      <c r="Q13" s="29">
        <v>2</v>
      </c>
      <c r="R13" s="33">
        <v>1</v>
      </c>
      <c r="S13" s="33"/>
      <c r="T13" s="33"/>
    </row>
    <row r="14" spans="1:20" s="25" customFormat="1" ht="15.75">
      <c r="A14" s="20" t="s">
        <v>11</v>
      </c>
      <c r="B14" s="20" t="s">
        <v>24</v>
      </c>
      <c r="C14" s="92">
        <v>445</v>
      </c>
      <c r="D14" s="92">
        <v>499</v>
      </c>
      <c r="E14" s="47"/>
      <c r="F14" s="47">
        <v>416</v>
      </c>
      <c r="G14" s="92">
        <v>441</v>
      </c>
      <c r="H14" s="47"/>
      <c r="I14" s="47">
        <v>428</v>
      </c>
      <c r="J14" s="47"/>
      <c r="K14" s="47">
        <v>432</v>
      </c>
      <c r="L14" s="39"/>
      <c r="M14" s="23">
        <f t="shared" si="0"/>
        <v>2661</v>
      </c>
      <c r="N14" s="20">
        <v>5</v>
      </c>
      <c r="O14" s="20">
        <v>3</v>
      </c>
      <c r="P14" s="23">
        <f>M14-2643</f>
        <v>18</v>
      </c>
      <c r="Q14" s="20">
        <v>2</v>
      </c>
      <c r="R14" s="24">
        <v>1</v>
      </c>
      <c r="S14" s="24"/>
      <c r="T14" s="24"/>
    </row>
    <row r="15" spans="1:20" s="34" customFormat="1" ht="15.75">
      <c r="A15" s="29" t="s">
        <v>12</v>
      </c>
      <c r="B15" s="29" t="s">
        <v>21</v>
      </c>
      <c r="C15" s="93">
        <v>453</v>
      </c>
      <c r="D15" s="93">
        <v>506</v>
      </c>
      <c r="E15" s="48"/>
      <c r="F15" s="48">
        <v>416</v>
      </c>
      <c r="G15" s="48">
        <v>422</v>
      </c>
      <c r="H15" s="48"/>
      <c r="I15" s="48">
        <v>411</v>
      </c>
      <c r="J15" s="48"/>
      <c r="K15" s="48">
        <v>426</v>
      </c>
      <c r="L15" s="44"/>
      <c r="M15" s="32">
        <f t="shared" si="0"/>
        <v>2634</v>
      </c>
      <c r="N15" s="29">
        <v>2</v>
      </c>
      <c r="O15" s="29">
        <v>6</v>
      </c>
      <c r="P15" s="32">
        <v>-31</v>
      </c>
      <c r="Q15" s="29">
        <v>0</v>
      </c>
      <c r="R15" s="33"/>
      <c r="S15" s="33"/>
      <c r="T15" s="33">
        <v>1</v>
      </c>
    </row>
    <row r="16" spans="1:20" s="25" customFormat="1" ht="15.75">
      <c r="A16" s="20" t="s">
        <v>13</v>
      </c>
      <c r="B16" s="20" t="s">
        <v>19</v>
      </c>
      <c r="C16" s="92">
        <v>456</v>
      </c>
      <c r="D16" s="92">
        <v>492</v>
      </c>
      <c r="E16" s="47"/>
      <c r="F16" s="47">
        <v>415</v>
      </c>
      <c r="G16" s="47"/>
      <c r="H16" s="47">
        <v>361</v>
      </c>
      <c r="I16" s="47">
        <v>396</v>
      </c>
      <c r="J16" s="47"/>
      <c r="K16" s="47">
        <v>420</v>
      </c>
      <c r="L16" s="39"/>
      <c r="M16" s="23">
        <f t="shared" si="0"/>
        <v>2540</v>
      </c>
      <c r="N16" s="20">
        <v>2</v>
      </c>
      <c r="O16" s="20">
        <v>6</v>
      </c>
      <c r="P16" s="23">
        <v>-52</v>
      </c>
      <c r="Q16" s="20">
        <v>0</v>
      </c>
      <c r="R16" s="24"/>
      <c r="S16" s="24"/>
      <c r="T16" s="24">
        <v>1</v>
      </c>
    </row>
    <row r="17" spans="1:20" s="34" customFormat="1" ht="16.5" thickBot="1">
      <c r="A17" s="29" t="s">
        <v>14</v>
      </c>
      <c r="B17" s="29" t="s">
        <v>214</v>
      </c>
      <c r="C17" s="170">
        <v>450</v>
      </c>
      <c r="D17" s="170">
        <v>467</v>
      </c>
      <c r="E17" s="50"/>
      <c r="F17" s="170">
        <v>453</v>
      </c>
      <c r="G17" s="170">
        <v>453</v>
      </c>
      <c r="H17" s="170">
        <v>449</v>
      </c>
      <c r="I17" s="50">
        <v>408</v>
      </c>
      <c r="J17" s="50"/>
      <c r="K17" s="50"/>
      <c r="L17" s="41"/>
      <c r="M17" s="46">
        <f t="shared" si="0"/>
        <v>2680</v>
      </c>
      <c r="N17" s="43">
        <v>7</v>
      </c>
      <c r="O17" s="43">
        <v>1</v>
      </c>
      <c r="P17" s="46">
        <v>199</v>
      </c>
      <c r="Q17" s="43">
        <v>2</v>
      </c>
      <c r="R17" s="113">
        <v>1</v>
      </c>
      <c r="S17" s="113"/>
      <c r="T17" s="113"/>
    </row>
    <row r="18" spans="3:20" ht="16.5" thickTop="1">
      <c r="C18" s="6">
        <f aca="true" t="shared" si="1" ref="C18:L18">SUM(C3:C17)</f>
        <v>6772</v>
      </c>
      <c r="D18" s="6">
        <f t="shared" si="1"/>
        <v>6650</v>
      </c>
      <c r="E18" s="6">
        <f>SUM(E4:E17)</f>
        <v>1058</v>
      </c>
      <c r="F18" s="6">
        <f t="shared" si="1"/>
        <v>6308</v>
      </c>
      <c r="G18" s="6">
        <f>SUM(G8:G17)</f>
        <v>3828</v>
      </c>
      <c r="H18" s="6">
        <f>SUM(H4:H6)+SUM(H9:H17)</f>
        <v>1652</v>
      </c>
      <c r="I18" s="6">
        <f t="shared" si="1"/>
        <v>5867</v>
      </c>
      <c r="J18" s="6">
        <f t="shared" si="1"/>
        <v>0</v>
      </c>
      <c r="K18" s="6">
        <f t="shared" si="1"/>
        <v>5897</v>
      </c>
      <c r="L18" s="6">
        <f t="shared" si="1"/>
        <v>0</v>
      </c>
      <c r="R18" s="71">
        <f>SUM(R3:R17)</f>
        <v>9</v>
      </c>
      <c r="S18" s="71">
        <f>SUM(S3:S17)</f>
        <v>0</v>
      </c>
      <c r="T18" s="71">
        <f>SUM(T3:T17)</f>
        <v>6</v>
      </c>
    </row>
    <row r="19" spans="2:12" ht="15.75">
      <c r="B19" s="1" t="s">
        <v>249</v>
      </c>
      <c r="C19" s="6">
        <f>COUNT(C3:C17)</f>
        <v>15</v>
      </c>
      <c r="D19" s="6">
        <f aca="true" t="shared" si="2" ref="D19:L19">COUNT(D3:D17)</f>
        <v>14</v>
      </c>
      <c r="E19" s="6">
        <f>COUNT(E4:E17)</f>
        <v>3</v>
      </c>
      <c r="F19" s="6">
        <f t="shared" si="2"/>
        <v>15</v>
      </c>
      <c r="G19" s="6">
        <f>COUNT(G8:G17)</f>
        <v>9</v>
      </c>
      <c r="H19" s="6">
        <f>COUNT(H4:H6)+COUNT(H9:H17)</f>
        <v>4</v>
      </c>
      <c r="I19" s="6">
        <f t="shared" si="2"/>
        <v>14</v>
      </c>
      <c r="J19" s="6">
        <f t="shared" si="2"/>
        <v>0</v>
      </c>
      <c r="K19" s="6">
        <f t="shared" si="2"/>
        <v>14</v>
      </c>
      <c r="L19" s="6">
        <f t="shared" si="2"/>
        <v>0</v>
      </c>
    </row>
    <row r="20" spans="2:19" ht="35.25" customHeight="1">
      <c r="B20" s="12" t="s">
        <v>129</v>
      </c>
      <c r="C20" s="17">
        <f>AVERAGE(C3:C17)</f>
        <v>451.46666666666664</v>
      </c>
      <c r="D20" s="17">
        <f aca="true" t="shared" si="3" ref="D20:K20">AVERAGE(D3:D17)</f>
        <v>475</v>
      </c>
      <c r="E20" s="17">
        <f>AVERAGE(E4:E17)</f>
        <v>352.6666666666667</v>
      </c>
      <c r="F20" s="17">
        <f t="shared" si="3"/>
        <v>420.53333333333336</v>
      </c>
      <c r="G20" s="17">
        <f>AVERAGE(G8:G17)</f>
        <v>425.3333333333333</v>
      </c>
      <c r="H20" s="17">
        <f>H18/H19</f>
        <v>413</v>
      </c>
      <c r="I20" s="17">
        <f t="shared" si="3"/>
        <v>419.07142857142856</v>
      </c>
      <c r="J20" s="17"/>
      <c r="K20" s="17">
        <f t="shared" si="3"/>
        <v>421.2142857142857</v>
      </c>
      <c r="L20" s="17"/>
      <c r="M20" s="3" t="s">
        <v>30</v>
      </c>
      <c r="N20" s="265" t="s">
        <v>117</v>
      </c>
      <c r="O20" s="265"/>
      <c r="P20" s="3" t="s">
        <v>31</v>
      </c>
      <c r="Q20" s="11" t="s">
        <v>118</v>
      </c>
      <c r="R20" s="105" t="s">
        <v>128</v>
      </c>
      <c r="S20" s="105" t="s">
        <v>247</v>
      </c>
    </row>
    <row r="21" spans="13:19" ht="15.75">
      <c r="M21" s="6">
        <f>SUM(M3:M17)</f>
        <v>38746</v>
      </c>
      <c r="N21" s="1">
        <f>SUM(N3:N17)</f>
        <v>64</v>
      </c>
      <c r="O21" s="1">
        <f>SUM(O3:O17)</f>
        <v>56</v>
      </c>
      <c r="P21" s="1">
        <f>SUM(P3:P17)</f>
        <v>770</v>
      </c>
      <c r="Q21" s="1">
        <f>SUM(Q3:Q17)</f>
        <v>18</v>
      </c>
      <c r="R21" s="2">
        <f>N21-O21</f>
        <v>8</v>
      </c>
      <c r="S21" s="71">
        <f>SUM(R18:T18)</f>
        <v>15</v>
      </c>
    </row>
    <row r="22" spans="3:4" ht="15.75">
      <c r="C22" s="270" t="s">
        <v>40</v>
      </c>
      <c r="D22" s="270"/>
    </row>
    <row r="23" spans="3:14" ht="15.75">
      <c r="C23" s="268" t="s">
        <v>134</v>
      </c>
      <c r="D23" s="268"/>
      <c r="M23" s="1" t="s">
        <v>130</v>
      </c>
      <c r="N23" s="19">
        <f>M21/S21</f>
        <v>2583.0666666666666</v>
      </c>
    </row>
    <row r="24" spans="3:14" ht="15.75">
      <c r="C24" s="269" t="s">
        <v>135</v>
      </c>
      <c r="D24" s="269"/>
      <c r="M24" s="1" t="s">
        <v>260</v>
      </c>
      <c r="N24" s="6">
        <f>M4+M6+M8+M10+M13+M15+M17+M30+M32+M33+M35+M37+M39+M41+M43</f>
        <v>38613</v>
      </c>
    </row>
    <row r="25" spans="9:13" ht="15.75">
      <c r="I25" s="262" t="s">
        <v>154</v>
      </c>
      <c r="J25" s="262"/>
      <c r="K25" s="12" t="s">
        <v>155</v>
      </c>
      <c r="L25" s="262" t="s">
        <v>128</v>
      </c>
      <c r="M25" s="262"/>
    </row>
    <row r="26" spans="1:13" ht="15.75">
      <c r="A26" s="73" t="s">
        <v>144</v>
      </c>
      <c r="B26" s="74"/>
      <c r="C26" s="74" t="s">
        <v>147</v>
      </c>
      <c r="D26" s="74" t="s">
        <v>148</v>
      </c>
      <c r="E26" s="266" t="s">
        <v>143</v>
      </c>
      <c r="F26" s="266"/>
      <c r="I26" s="1">
        <f>N21+N45</f>
        <v>133</v>
      </c>
      <c r="J26" s="1">
        <f>O21+O45</f>
        <v>107</v>
      </c>
      <c r="K26" s="1">
        <f>Q21+Q45</f>
        <v>36</v>
      </c>
      <c r="L26" s="267">
        <f>I26-J26</f>
        <v>26</v>
      </c>
      <c r="M26" s="267"/>
    </row>
    <row r="27" ht="15.75">
      <c r="F27" s="56"/>
    </row>
    <row r="29" spans="2:20" ht="32.25" thickBot="1">
      <c r="B29" s="3" t="s">
        <v>25</v>
      </c>
      <c r="C29" s="9" t="s">
        <v>92</v>
      </c>
      <c r="D29" s="9" t="s">
        <v>93</v>
      </c>
      <c r="E29" s="9" t="s">
        <v>94</v>
      </c>
      <c r="F29" s="9" t="s">
        <v>95</v>
      </c>
      <c r="G29" s="9" t="s">
        <v>96</v>
      </c>
      <c r="H29" s="9" t="s">
        <v>97</v>
      </c>
      <c r="I29" s="9" t="s">
        <v>99</v>
      </c>
      <c r="J29" s="9" t="s">
        <v>199</v>
      </c>
      <c r="K29" s="9" t="s">
        <v>200</v>
      </c>
      <c r="M29" s="3" t="s">
        <v>30</v>
      </c>
      <c r="N29" s="3" t="s">
        <v>18</v>
      </c>
      <c r="O29" s="3" t="s">
        <v>29</v>
      </c>
      <c r="P29" s="3" t="s">
        <v>31</v>
      </c>
      <c r="Q29" s="11" t="s">
        <v>116</v>
      </c>
      <c r="R29" s="2" t="s">
        <v>191</v>
      </c>
      <c r="S29" s="2" t="s">
        <v>192</v>
      </c>
      <c r="T29" s="2" t="s">
        <v>193</v>
      </c>
    </row>
    <row r="30" spans="1:18" s="158" customFormat="1" ht="15.75">
      <c r="A30" s="154" t="s">
        <v>221</v>
      </c>
      <c r="B30" s="162" t="s">
        <v>24</v>
      </c>
      <c r="C30" s="181">
        <v>436</v>
      </c>
      <c r="D30" s="181">
        <v>481</v>
      </c>
      <c r="E30" s="163"/>
      <c r="F30" s="163">
        <v>422</v>
      </c>
      <c r="G30" s="181">
        <v>444</v>
      </c>
      <c r="H30" s="163"/>
      <c r="I30" s="163">
        <v>425</v>
      </c>
      <c r="J30" s="163"/>
      <c r="K30" s="181">
        <v>429</v>
      </c>
      <c r="L30" s="163"/>
      <c r="M30" s="156">
        <f>SUM(C30:L30)</f>
        <v>2637</v>
      </c>
      <c r="N30" s="154">
        <v>6</v>
      </c>
      <c r="O30" s="154">
        <v>2</v>
      </c>
      <c r="P30" s="154">
        <v>1</v>
      </c>
      <c r="Q30" s="154">
        <v>2</v>
      </c>
      <c r="R30" s="158">
        <v>1</v>
      </c>
    </row>
    <row r="31" spans="1:18" s="148" customFormat="1" ht="15.75">
      <c r="A31" s="144" t="s">
        <v>222</v>
      </c>
      <c r="B31" s="144" t="s">
        <v>20</v>
      </c>
      <c r="C31" s="182">
        <v>463</v>
      </c>
      <c r="D31" s="182">
        <v>461</v>
      </c>
      <c r="E31" s="165"/>
      <c r="F31" s="165">
        <v>393</v>
      </c>
      <c r="G31" s="182">
        <v>428</v>
      </c>
      <c r="H31" s="165"/>
      <c r="I31" s="165">
        <v>421</v>
      </c>
      <c r="J31" s="165"/>
      <c r="K31" s="165">
        <v>412</v>
      </c>
      <c r="L31" s="165"/>
      <c r="M31" s="146">
        <f>SUM(C31:L31)</f>
        <v>2578</v>
      </c>
      <c r="N31" s="144">
        <v>5</v>
      </c>
      <c r="O31" s="144">
        <v>3</v>
      </c>
      <c r="P31" s="144">
        <v>8</v>
      </c>
      <c r="Q31" s="144">
        <v>2</v>
      </c>
      <c r="R31" s="148">
        <v>1</v>
      </c>
    </row>
    <row r="32" spans="1:20" s="158" customFormat="1" ht="15.75">
      <c r="A32" s="154" t="s">
        <v>156</v>
      </c>
      <c r="B32" s="154" t="s">
        <v>26</v>
      </c>
      <c r="C32" s="181">
        <v>435</v>
      </c>
      <c r="D32" s="181">
        <v>479</v>
      </c>
      <c r="E32" s="163">
        <v>159</v>
      </c>
      <c r="F32" s="163">
        <v>418</v>
      </c>
      <c r="G32" s="163">
        <v>422</v>
      </c>
      <c r="H32" s="163">
        <v>185</v>
      </c>
      <c r="I32" s="163"/>
      <c r="J32" s="163"/>
      <c r="K32" s="163">
        <v>393</v>
      </c>
      <c r="L32" s="163"/>
      <c r="M32" s="156">
        <f>SUM(C32:L32)</f>
        <v>2491</v>
      </c>
      <c r="N32" s="154">
        <v>2</v>
      </c>
      <c r="O32" s="154">
        <v>6</v>
      </c>
      <c r="P32" s="154">
        <f>M32-2745</f>
        <v>-254</v>
      </c>
      <c r="Q32" s="154">
        <v>0</v>
      </c>
      <c r="T32" s="158">
        <v>1</v>
      </c>
    </row>
    <row r="33" spans="1:20" s="158" customFormat="1" ht="15.75">
      <c r="A33" s="154" t="s">
        <v>157</v>
      </c>
      <c r="B33" s="154" t="s">
        <v>16</v>
      </c>
      <c r="C33" s="181">
        <v>439</v>
      </c>
      <c r="D33" s="181">
        <v>454</v>
      </c>
      <c r="E33" s="163"/>
      <c r="F33" s="163">
        <v>395</v>
      </c>
      <c r="G33" s="163">
        <v>416</v>
      </c>
      <c r="H33" s="163"/>
      <c r="I33" s="163">
        <v>402</v>
      </c>
      <c r="J33" s="163"/>
      <c r="K33" s="181">
        <v>448</v>
      </c>
      <c r="L33" s="163"/>
      <c r="M33" s="156">
        <f>SUM(B33:L33)</f>
        <v>2554</v>
      </c>
      <c r="N33" s="154">
        <v>3</v>
      </c>
      <c r="O33" s="154">
        <v>5</v>
      </c>
      <c r="P33" s="154">
        <v>-27</v>
      </c>
      <c r="Q33" s="154">
        <v>0</v>
      </c>
      <c r="T33" s="158">
        <v>1</v>
      </c>
    </row>
    <row r="34" spans="1:20" s="148" customFormat="1" ht="15.75">
      <c r="A34" s="144" t="s">
        <v>158</v>
      </c>
      <c r="B34" s="144" t="s">
        <v>223</v>
      </c>
      <c r="C34" s="166">
        <v>418</v>
      </c>
      <c r="D34" s="182">
        <v>467</v>
      </c>
      <c r="E34" s="165">
        <v>322</v>
      </c>
      <c r="F34" s="182">
        <v>436</v>
      </c>
      <c r="G34" s="165">
        <v>380</v>
      </c>
      <c r="H34" s="165"/>
      <c r="I34" s="165"/>
      <c r="J34" s="165"/>
      <c r="K34" s="182">
        <v>423</v>
      </c>
      <c r="L34" s="165"/>
      <c r="M34" s="146">
        <f>SUM(C34:L34)</f>
        <v>2446</v>
      </c>
      <c r="N34" s="144">
        <v>3</v>
      </c>
      <c r="O34" s="144">
        <v>5</v>
      </c>
      <c r="P34" s="144">
        <f>M34-2577</f>
        <v>-131</v>
      </c>
      <c r="Q34" s="144">
        <v>0</v>
      </c>
      <c r="T34" s="148">
        <v>1</v>
      </c>
    </row>
    <row r="35" spans="1:18" s="158" customFormat="1" ht="15.75">
      <c r="A35" s="154" t="s">
        <v>159</v>
      </c>
      <c r="B35" s="154" t="s">
        <v>22</v>
      </c>
      <c r="C35" s="93">
        <v>453</v>
      </c>
      <c r="D35" s="93">
        <v>494</v>
      </c>
      <c r="E35" s="48"/>
      <c r="F35" s="93">
        <v>433</v>
      </c>
      <c r="G35" s="48">
        <v>401</v>
      </c>
      <c r="H35" s="48"/>
      <c r="I35" s="48">
        <v>408</v>
      </c>
      <c r="J35" s="48"/>
      <c r="K35" s="93">
        <v>424</v>
      </c>
      <c r="L35" s="48"/>
      <c r="M35" s="221">
        <f aca="true" t="shared" si="4" ref="M35:M44">SUM(C35:L35)</f>
        <v>2613</v>
      </c>
      <c r="N35" s="72">
        <v>6</v>
      </c>
      <c r="O35" s="72">
        <v>2</v>
      </c>
      <c r="P35" s="72">
        <f>M35-2366</f>
        <v>247</v>
      </c>
      <c r="Q35" s="72">
        <v>2</v>
      </c>
      <c r="R35" s="158">
        <v>1</v>
      </c>
    </row>
    <row r="36" spans="1:20" s="148" customFormat="1" ht="15.75">
      <c r="A36" s="144" t="s">
        <v>160</v>
      </c>
      <c r="B36" s="144" t="s">
        <v>15</v>
      </c>
      <c r="C36" s="92">
        <v>459</v>
      </c>
      <c r="D36" s="92">
        <v>447</v>
      </c>
      <c r="E36" s="47">
        <v>160</v>
      </c>
      <c r="F36" s="47">
        <v>408</v>
      </c>
      <c r="G36" s="92">
        <v>460</v>
      </c>
      <c r="H36" s="47"/>
      <c r="I36" s="47">
        <v>172</v>
      </c>
      <c r="J36" s="47"/>
      <c r="K36" s="47">
        <v>396</v>
      </c>
      <c r="L36" s="47"/>
      <c r="M36" s="204">
        <f t="shared" si="4"/>
        <v>2502</v>
      </c>
      <c r="N36" s="203">
        <v>3</v>
      </c>
      <c r="O36" s="203">
        <v>5</v>
      </c>
      <c r="P36" s="203">
        <f>M36-2654</f>
        <v>-152</v>
      </c>
      <c r="Q36" s="203">
        <v>0</v>
      </c>
      <c r="T36" s="148">
        <v>1</v>
      </c>
    </row>
    <row r="37" spans="1:18" s="158" customFormat="1" ht="15.75">
      <c r="A37" s="154" t="s">
        <v>161</v>
      </c>
      <c r="B37" s="154" t="s">
        <v>17</v>
      </c>
      <c r="C37" s="93">
        <v>445</v>
      </c>
      <c r="D37" s="93">
        <v>495</v>
      </c>
      <c r="E37" s="72"/>
      <c r="F37" s="72">
        <v>420</v>
      </c>
      <c r="G37" s="72">
        <v>424</v>
      </c>
      <c r="H37" s="72"/>
      <c r="I37" s="72">
        <v>399</v>
      </c>
      <c r="J37" s="72"/>
      <c r="K37" s="93">
        <v>424</v>
      </c>
      <c r="L37" s="48"/>
      <c r="M37" s="221">
        <f t="shared" si="4"/>
        <v>2607</v>
      </c>
      <c r="N37" s="72">
        <v>5</v>
      </c>
      <c r="O37" s="72">
        <v>3</v>
      </c>
      <c r="P37" s="72">
        <v>31</v>
      </c>
      <c r="Q37" s="72">
        <v>2</v>
      </c>
      <c r="R37" s="158">
        <v>1</v>
      </c>
    </row>
    <row r="38" spans="1:18" s="148" customFormat="1" ht="15.75">
      <c r="A38" s="144" t="s">
        <v>162</v>
      </c>
      <c r="B38" s="144" t="s">
        <v>218</v>
      </c>
      <c r="C38" s="181">
        <v>460</v>
      </c>
      <c r="D38" s="181">
        <v>502</v>
      </c>
      <c r="E38" s="163">
        <v>338</v>
      </c>
      <c r="F38" s="181">
        <v>416</v>
      </c>
      <c r="G38" s="181">
        <v>432</v>
      </c>
      <c r="H38" s="163"/>
      <c r="I38" s="163"/>
      <c r="J38" s="163"/>
      <c r="K38" s="181">
        <v>447</v>
      </c>
      <c r="L38" s="165"/>
      <c r="M38" s="146">
        <f>SUM(C38:L38)</f>
        <v>2595</v>
      </c>
      <c r="N38" s="154">
        <v>7</v>
      </c>
      <c r="O38" s="154">
        <v>1</v>
      </c>
      <c r="P38" s="154">
        <f>M37-2228</f>
        <v>379</v>
      </c>
      <c r="Q38" s="154">
        <v>2</v>
      </c>
      <c r="R38" s="158">
        <v>1</v>
      </c>
    </row>
    <row r="39" spans="1:20" s="158" customFormat="1" ht="15.75">
      <c r="A39" s="154" t="s">
        <v>163</v>
      </c>
      <c r="B39" s="154" t="s">
        <v>23</v>
      </c>
      <c r="C39" s="181">
        <v>431</v>
      </c>
      <c r="D39" s="181">
        <v>486</v>
      </c>
      <c r="E39" s="163">
        <v>364</v>
      </c>
      <c r="F39" s="163">
        <v>406</v>
      </c>
      <c r="G39" s="181">
        <v>437</v>
      </c>
      <c r="H39" s="163"/>
      <c r="I39" s="163"/>
      <c r="J39" s="163"/>
      <c r="K39" s="163">
        <v>392</v>
      </c>
      <c r="L39" s="163"/>
      <c r="M39" s="156">
        <f t="shared" si="4"/>
        <v>2516</v>
      </c>
      <c r="N39" s="154">
        <v>3</v>
      </c>
      <c r="O39" s="154">
        <v>5</v>
      </c>
      <c r="P39" s="154">
        <v>-43</v>
      </c>
      <c r="Q39" s="154">
        <v>0</v>
      </c>
      <c r="T39" s="158">
        <v>1</v>
      </c>
    </row>
    <row r="40" spans="1:18" s="148" customFormat="1" ht="15.75">
      <c r="A40" s="144" t="s">
        <v>164</v>
      </c>
      <c r="B40" s="144" t="s">
        <v>217</v>
      </c>
      <c r="C40" s="225">
        <v>479</v>
      </c>
      <c r="D40" s="225">
        <v>530</v>
      </c>
      <c r="E40" s="165"/>
      <c r="F40" s="225">
        <v>446</v>
      </c>
      <c r="G40" s="165">
        <v>402</v>
      </c>
      <c r="H40" s="165"/>
      <c r="I40" s="225">
        <v>443</v>
      </c>
      <c r="J40" s="165"/>
      <c r="K40" s="165">
        <v>407</v>
      </c>
      <c r="L40" s="165"/>
      <c r="M40" s="146">
        <f t="shared" si="4"/>
        <v>2707</v>
      </c>
      <c r="N40" s="144">
        <v>6</v>
      </c>
      <c r="O40" s="144">
        <v>2</v>
      </c>
      <c r="P40" s="144">
        <f>M40-2565</f>
        <v>142</v>
      </c>
      <c r="Q40" s="144">
        <v>2</v>
      </c>
      <c r="R40" s="148">
        <v>1</v>
      </c>
    </row>
    <row r="41" spans="1:18" s="158" customFormat="1" ht="15.75">
      <c r="A41" s="154" t="s">
        <v>165</v>
      </c>
      <c r="B41" s="154" t="s">
        <v>204</v>
      </c>
      <c r="C41" s="224">
        <v>462</v>
      </c>
      <c r="D41" s="224">
        <v>483</v>
      </c>
      <c r="E41" s="163"/>
      <c r="F41" s="224">
        <v>435</v>
      </c>
      <c r="G41" s="163">
        <v>416</v>
      </c>
      <c r="H41" s="163"/>
      <c r="I41" s="163">
        <v>417</v>
      </c>
      <c r="J41" s="163"/>
      <c r="K41" s="163">
        <v>394</v>
      </c>
      <c r="L41" s="163"/>
      <c r="M41" s="156">
        <f t="shared" si="4"/>
        <v>2607</v>
      </c>
      <c r="N41" s="154">
        <v>5</v>
      </c>
      <c r="O41" s="154">
        <v>3</v>
      </c>
      <c r="P41" s="154">
        <v>121</v>
      </c>
      <c r="Q41" s="154">
        <v>2</v>
      </c>
      <c r="R41" s="158">
        <v>1</v>
      </c>
    </row>
    <row r="42" spans="1:18" s="148" customFormat="1" ht="15.75">
      <c r="A42" s="144" t="s">
        <v>166</v>
      </c>
      <c r="B42" s="144" t="s">
        <v>214</v>
      </c>
      <c r="C42" s="166"/>
      <c r="D42" s="225">
        <v>474</v>
      </c>
      <c r="E42" s="165">
        <v>358</v>
      </c>
      <c r="F42" s="225">
        <v>430</v>
      </c>
      <c r="G42" s="225">
        <v>447</v>
      </c>
      <c r="H42" s="165"/>
      <c r="I42" s="225">
        <v>419</v>
      </c>
      <c r="J42" s="165"/>
      <c r="K42" s="165">
        <v>409</v>
      </c>
      <c r="L42" s="165"/>
      <c r="M42" s="146">
        <f t="shared" si="4"/>
        <v>2537</v>
      </c>
      <c r="N42" s="144">
        <v>6</v>
      </c>
      <c r="O42" s="144">
        <v>2</v>
      </c>
      <c r="P42" s="144">
        <f>M42-2505</f>
        <v>32</v>
      </c>
      <c r="Q42" s="144">
        <v>2</v>
      </c>
      <c r="R42" s="148">
        <v>1</v>
      </c>
    </row>
    <row r="43" spans="1:20" s="158" customFormat="1" ht="15.75">
      <c r="A43" s="154" t="s">
        <v>167</v>
      </c>
      <c r="B43" s="154" t="s">
        <v>19</v>
      </c>
      <c r="C43" s="224">
        <v>452</v>
      </c>
      <c r="D43" s="224">
        <v>459</v>
      </c>
      <c r="E43" s="163">
        <v>351</v>
      </c>
      <c r="F43" s="163">
        <v>413</v>
      </c>
      <c r="G43" s="224">
        <v>473</v>
      </c>
      <c r="H43" s="163"/>
      <c r="I43" s="163"/>
      <c r="J43" s="163"/>
      <c r="K43" s="163">
        <v>425</v>
      </c>
      <c r="L43" s="163"/>
      <c r="M43" s="156">
        <f t="shared" si="4"/>
        <v>2573</v>
      </c>
      <c r="N43" s="154">
        <v>3</v>
      </c>
      <c r="O43" s="154">
        <v>5</v>
      </c>
      <c r="P43" s="154">
        <v>-92</v>
      </c>
      <c r="Q43" s="154">
        <v>0</v>
      </c>
      <c r="T43" s="158">
        <v>1</v>
      </c>
    </row>
    <row r="44" spans="1:20" s="148" customFormat="1" ht="16.5" thickBot="1">
      <c r="A44" s="144" t="s">
        <v>168</v>
      </c>
      <c r="B44" s="144" t="s">
        <v>21</v>
      </c>
      <c r="C44" s="233">
        <v>449</v>
      </c>
      <c r="D44" s="233">
        <v>494</v>
      </c>
      <c r="E44" s="167"/>
      <c r="F44" s="233">
        <v>471</v>
      </c>
      <c r="G44" s="233">
        <v>461</v>
      </c>
      <c r="H44" s="167"/>
      <c r="I44" s="167">
        <v>426</v>
      </c>
      <c r="J44" s="167"/>
      <c r="K44" s="167">
        <v>430</v>
      </c>
      <c r="L44" s="167"/>
      <c r="M44" s="152">
        <f t="shared" si="4"/>
        <v>2731</v>
      </c>
      <c r="N44" s="151">
        <v>6</v>
      </c>
      <c r="O44" s="151">
        <v>2</v>
      </c>
      <c r="P44" s="151">
        <f>M44-2556</f>
        <v>175</v>
      </c>
      <c r="Q44" s="151">
        <v>2</v>
      </c>
      <c r="R44" s="180">
        <v>1</v>
      </c>
      <c r="S44" s="180"/>
      <c r="T44" s="180"/>
    </row>
    <row r="45" spans="3:20" ht="16.5" thickTop="1">
      <c r="C45" s="7">
        <f>SUM(C30:C44)</f>
        <v>6281</v>
      </c>
      <c r="D45" s="7">
        <f aca="true" t="shared" si="5" ref="D45:K45">SUM(D30:D44)</f>
        <v>7206</v>
      </c>
      <c r="E45" s="7">
        <f>SUM(E33:E35)+SUM(E38:E44)</f>
        <v>1733</v>
      </c>
      <c r="F45" s="7">
        <f t="shared" si="5"/>
        <v>6342</v>
      </c>
      <c r="G45" s="7">
        <f t="shared" si="5"/>
        <v>6443</v>
      </c>
      <c r="H45" s="7">
        <f t="shared" si="5"/>
        <v>185</v>
      </c>
      <c r="I45" s="7">
        <f>SUM(I30:I35)</f>
        <v>1656</v>
      </c>
      <c r="J45" s="7">
        <f t="shared" si="5"/>
        <v>0</v>
      </c>
      <c r="K45" s="7">
        <f t="shared" si="5"/>
        <v>6253</v>
      </c>
      <c r="L45" s="7"/>
      <c r="N45" s="1">
        <f>SUM(N30:N44)</f>
        <v>69</v>
      </c>
      <c r="O45" s="1">
        <f>SUM(O30:O44)</f>
        <v>51</v>
      </c>
      <c r="P45" s="1">
        <f>SUM(P30:P44)</f>
        <v>437</v>
      </c>
      <c r="Q45" s="1">
        <f>SUM(Q30:Q44)</f>
        <v>18</v>
      </c>
      <c r="R45" s="6">
        <f>SUM(R30:R44)+R18</f>
        <v>18</v>
      </c>
      <c r="S45" s="6">
        <f>SUM(S30:S44)+S18</f>
        <v>0</v>
      </c>
      <c r="T45" s="6">
        <f>SUM(T30:T44)+T18</f>
        <v>12</v>
      </c>
    </row>
    <row r="46" spans="2:11" ht="31.5">
      <c r="B46" s="83" t="s">
        <v>279</v>
      </c>
      <c r="C46" s="1">
        <f>COUNT(C30:C44)</f>
        <v>14</v>
      </c>
      <c r="D46" s="1">
        <f aca="true" t="shared" si="6" ref="D46:K46">COUNT(D30:D44)</f>
        <v>15</v>
      </c>
      <c r="E46" s="1">
        <f>COUNT(E33:E35)+COUNT(E38:E44)</f>
        <v>5</v>
      </c>
      <c r="F46" s="1">
        <f t="shared" si="6"/>
        <v>15</v>
      </c>
      <c r="G46" s="1">
        <f t="shared" si="6"/>
        <v>15</v>
      </c>
      <c r="H46" s="1">
        <f t="shared" si="6"/>
        <v>1</v>
      </c>
      <c r="I46" s="1">
        <f>COUNT(I30:I35)</f>
        <v>4</v>
      </c>
      <c r="J46" s="1">
        <f t="shared" si="6"/>
        <v>0</v>
      </c>
      <c r="K46" s="1">
        <f t="shared" si="6"/>
        <v>15</v>
      </c>
    </row>
    <row r="47" spans="2:20" ht="31.5">
      <c r="B47" s="12" t="s">
        <v>275</v>
      </c>
      <c r="C47" s="17">
        <f>C45/C46</f>
        <v>448.64285714285717</v>
      </c>
      <c r="D47" s="17">
        <f aca="true" t="shared" si="7" ref="D47:K47">D45/D46</f>
        <v>480.4</v>
      </c>
      <c r="E47" s="17">
        <f t="shared" si="7"/>
        <v>346.6</v>
      </c>
      <c r="F47" s="17">
        <f t="shared" si="7"/>
        <v>422.8</v>
      </c>
      <c r="G47" s="17">
        <f t="shared" si="7"/>
        <v>429.53333333333336</v>
      </c>
      <c r="H47" s="17"/>
      <c r="I47" s="17">
        <f t="shared" si="7"/>
        <v>414</v>
      </c>
      <c r="J47" s="17"/>
      <c r="K47" s="17">
        <f t="shared" si="7"/>
        <v>416.8666666666667</v>
      </c>
      <c r="L47" s="17"/>
      <c r="M47" s="3" t="s">
        <v>30</v>
      </c>
      <c r="N47" s="265" t="s">
        <v>117</v>
      </c>
      <c r="O47" s="265"/>
      <c r="P47" s="3" t="s">
        <v>31</v>
      </c>
      <c r="Q47" s="11" t="s">
        <v>118</v>
      </c>
      <c r="S47" s="105" t="s">
        <v>128</v>
      </c>
      <c r="T47" s="105" t="s">
        <v>247</v>
      </c>
    </row>
    <row r="48" spans="13:20" ht="15.75">
      <c r="M48" s="6">
        <f>SUM(M30:M44)+M21</f>
        <v>77440</v>
      </c>
      <c r="N48" s="6">
        <f>+N21</f>
        <v>64</v>
      </c>
      <c r="O48" s="6">
        <f>+O21</f>
        <v>56</v>
      </c>
      <c r="P48" s="6">
        <f>+P21</f>
        <v>770</v>
      </c>
      <c r="Q48" s="6">
        <f>+Q21</f>
        <v>18</v>
      </c>
      <c r="S48" s="2">
        <f>N48-O48</f>
        <v>8</v>
      </c>
      <c r="T48" s="71">
        <f>SUM(R45:T45)</f>
        <v>30</v>
      </c>
    </row>
    <row r="50" spans="13:14" ht="15.75">
      <c r="M50" s="1" t="s">
        <v>130</v>
      </c>
      <c r="N50" s="19">
        <f>M48/T48</f>
        <v>2581.3333333333335</v>
      </c>
    </row>
  </sheetData>
  <sheetProtection/>
  <mergeCells count="11">
    <mergeCell ref="C1:L1"/>
    <mergeCell ref="N1:O1"/>
    <mergeCell ref="C22:D22"/>
    <mergeCell ref="N20:O20"/>
    <mergeCell ref="C23:D23"/>
    <mergeCell ref="N47:O47"/>
    <mergeCell ref="E26:F26"/>
    <mergeCell ref="I25:J25"/>
    <mergeCell ref="L25:M25"/>
    <mergeCell ref="L26:M26"/>
    <mergeCell ref="C24:D24"/>
  </mergeCells>
  <printOptions/>
  <pageMargins left="0.75" right="0.75" top="1" bottom="1" header="0.5" footer="0.5"/>
  <pageSetup horizontalDpi="600" verticalDpi="600" orientation="portrait" paperSize="9" r:id="rId1"/>
  <ignoredErrors>
    <ignoredError sqref="E18:E20 G18:G20" formula="1" formulaRange="1"/>
    <ignoredError sqref="H18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cp:lastPrinted>2010-09-30T17:02:36Z</cp:lastPrinted>
  <dcterms:created xsi:type="dcterms:W3CDTF">2008-09-16T07:00:15Z</dcterms:created>
  <dcterms:modified xsi:type="dcterms:W3CDTF">2012-04-27T18:36:29Z</dcterms:modified>
  <cp:category/>
  <cp:version/>
  <cp:contentType/>
  <cp:contentStatus/>
</cp:coreProperties>
</file>