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005" tabRatio="904" activeTab="0"/>
  </bookViews>
  <sheets>
    <sheet name="Tabella" sheetId="1" r:id="rId1"/>
    <sheet name="őszi tabella" sheetId="2" r:id="rId2"/>
    <sheet name="tavaszi tabella" sheetId="3" r:id="rId3"/>
    <sheet name="Kinizsi" sheetId="4" r:id="rId4"/>
    <sheet name="Amazonok" sheetId="5" r:id="rId5"/>
    <sheet name="Santé" sheetId="6" r:id="rId6"/>
    <sheet name="Kalmár" sheetId="7" r:id="rId7"/>
    <sheet name="Szedd Le" sheetId="8" r:id="rId8"/>
    <sheet name="Privát" sheetId="9" r:id="rId9"/>
    <sheet name="Phoenix" sheetId="10" r:id="rId10"/>
    <sheet name="Tápé" sheetId="11" r:id="rId11"/>
    <sheet name="Bolgár" sheetId="12" r:id="rId12"/>
    <sheet name="Dél Akku" sheetId="13" r:id="rId13"/>
    <sheet name="Anro ker" sheetId="14" r:id="rId14"/>
    <sheet name="Pörc" sheetId="15" r:id="rId15"/>
    <sheet name="Szefo" sheetId="16" r:id="rId16"/>
    <sheet name="Guriga" sheetId="17" r:id="rId17"/>
    <sheet name="Postás" sheetId="18" r:id="rId18"/>
    <sheet name="Démász" sheetId="19" r:id="rId19"/>
    <sheet name="Novum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<sst xmlns="http://schemas.openxmlformats.org/spreadsheetml/2006/main" count="2199" uniqueCount="257">
  <si>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</si>
  <si>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</si>
  <si>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</si>
  <si>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</si>
  <si>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</si>
  <si>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</si>
  <si>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</si>
  <si>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</si>
  <si>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</si>
  <si>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</si>
  <si>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</si>
  <si>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</si>
  <si>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</si>
  <si>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</si>
  <si>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</si>
  <si>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</si>
  <si>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</si>
  <si>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</si>
  <si>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Phoenix</t>
  </si>
  <si>
    <t>Guriga</t>
  </si>
  <si>
    <t>Anro Ker</t>
  </si>
  <si>
    <t>Szefo</t>
  </si>
  <si>
    <t>Dél Akku</t>
  </si>
  <si>
    <t>-</t>
  </si>
  <si>
    <t>Postás</t>
  </si>
  <si>
    <t>Szedd Le</t>
  </si>
  <si>
    <t>Santé</t>
  </si>
  <si>
    <t>Amazonok</t>
  </si>
  <si>
    <t>Bolgár</t>
  </si>
  <si>
    <t>Ellenfél</t>
  </si>
  <si>
    <t>Kinizsi</t>
  </si>
  <si>
    <t>Dobók</t>
  </si>
  <si>
    <t>Pörc</t>
  </si>
  <si>
    <t>mérkőzés eredménye</t>
  </si>
  <si>
    <t>ellenfél</t>
  </si>
  <si>
    <t>Össz. dobott fa</t>
  </si>
  <si>
    <t>fa különbség</t>
  </si>
  <si>
    <t>Szedd le</t>
  </si>
  <si>
    <t>Olajos Mihály</t>
  </si>
  <si>
    <t>Győző-Molnár Krisztina</t>
  </si>
  <si>
    <t>Szabó László</t>
  </si>
  <si>
    <t>Iványi László</t>
  </si>
  <si>
    <t>Kaufmann Zoltán</t>
  </si>
  <si>
    <t>Gyuris Gábor</t>
  </si>
  <si>
    <t>Elek-Savanya István</t>
  </si>
  <si>
    <t>Tímár Edina</t>
  </si>
  <si>
    <t>Sáfrány Anita</t>
  </si>
  <si>
    <t>Dobozi Iván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</si>
  <si>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</si>
  <si>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</si>
  <si>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</si>
  <si>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</si>
  <si>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</si>
  <si>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</si>
  <si>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</si>
  <si>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</si>
  <si>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</si>
  <si>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</si>
  <si>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</si>
  <si>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</si>
  <si>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</si>
  <si>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</si>
  <si>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</si>
  <si>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</si>
  <si>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</si>
  <si>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</si>
  <si>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</si>
  <si>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</si>
  <si>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</si>
  <si>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</si>
  <si>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</si>
  <si>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</si>
  <si>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Ugrai Antal</t>
  </si>
  <si>
    <t>Balogh László</t>
  </si>
  <si>
    <t>Naschitz Károly</t>
  </si>
  <si>
    <t>Zsódi Imre</t>
  </si>
  <si>
    <t>Lázár János</t>
  </si>
  <si>
    <t>Tompa Panni</t>
  </si>
  <si>
    <t>Szani Péter</t>
  </si>
  <si>
    <t>Ifj. Bogdán Gábor</t>
  </si>
  <si>
    <t>Hollos Imre</t>
  </si>
  <si>
    <t>Hódi Tamás</t>
  </si>
  <si>
    <t>Mező Ferenc</t>
  </si>
  <si>
    <t>Bogdán Gábor</t>
  </si>
  <si>
    <t>Andracsek Roland</t>
  </si>
  <si>
    <t>Kratochwill József</t>
  </si>
  <si>
    <t>Péter Csaba</t>
  </si>
  <si>
    <t>Bodócsi László</t>
  </si>
  <si>
    <t>Mladin István</t>
  </si>
  <si>
    <t>Papp Tamás</t>
  </si>
  <si>
    <t>Péter Norbert</t>
  </si>
  <si>
    <t>Calbert László</t>
  </si>
  <si>
    <t>Majoros Tibor</t>
  </si>
  <si>
    <t>Nagymihályné Böbe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</si>
  <si>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</si>
  <si>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</si>
  <si>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</si>
  <si>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</si>
  <si>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</si>
  <si>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</si>
  <si>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</si>
  <si>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</si>
  <si>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</si>
  <si>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</si>
  <si>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Kamasz Gábor</t>
  </si>
  <si>
    <t>Kalmár László</t>
  </si>
  <si>
    <t>Balogh József</t>
  </si>
  <si>
    <t>Ifj. Sonkoly László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</si>
  <si>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</si>
  <si>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</si>
  <si>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</si>
  <si>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</si>
  <si>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</si>
  <si>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</si>
  <si>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</si>
  <si>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</si>
  <si>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Horváth István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</si>
  <si>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</si>
  <si>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</si>
  <si>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</si>
  <si>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</si>
  <si>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</si>
  <si>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</si>
  <si>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</si>
  <si>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</si>
  <si>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</si>
  <si>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Buri Jenő</t>
  </si>
  <si>
    <t>Kórász Anna</t>
  </si>
  <si>
    <t>Ferenczi László</t>
  </si>
  <si>
    <t>Pocsainé Zsuzsa</t>
  </si>
  <si>
    <t>Juhász Tibor</t>
  </si>
  <si>
    <t>Bolgár Tamás</t>
  </si>
  <si>
    <t>Nagy-Dani Károly</t>
  </si>
  <si>
    <t>Forró Anita</t>
  </si>
  <si>
    <t>Szerzett pontok</t>
  </si>
  <si>
    <t>Szett állás</t>
  </si>
  <si>
    <t>Össz pontszám:</t>
  </si>
  <si>
    <t>Faragó Zoltán</t>
  </si>
  <si>
    <t>Kecse-Nagy Sándor</t>
  </si>
  <si>
    <t>Eperjesi József</t>
  </si>
  <si>
    <t>Márta Sándor</t>
  </si>
  <si>
    <t>Andracsek Tibor</t>
  </si>
  <si>
    <t>Gömöri József</t>
  </si>
  <si>
    <t>Gál Zoltán</t>
  </si>
  <si>
    <t>Kovács Béla</t>
  </si>
  <si>
    <t>Gyöngyösi Mária</t>
  </si>
  <si>
    <t>Tóth Tibor</t>
  </si>
  <si>
    <t>Berek Tibor</t>
  </si>
  <si>
    <t>Horváth Ibolya</t>
  </si>
  <si>
    <t>Vámosi Lukács</t>
  </si>
  <si>
    <t>szett különbség</t>
  </si>
  <si>
    <t>Vukovic Igor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</si>
  <si>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</si>
  <si>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</si>
  <si>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</si>
  <si>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</si>
  <si>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</si>
  <si>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</si>
  <si>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</si>
  <si>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Kaszás Zoltán</t>
  </si>
  <si>
    <t>Karsai Ferenc</t>
  </si>
  <si>
    <t>Horváth Hajni</t>
  </si>
  <si>
    <t>Ótott Katalin</t>
  </si>
  <si>
    <t>Kővágó György</t>
  </si>
  <si>
    <t>Tóth Andrea</t>
  </si>
  <si>
    <t>Bordás László</t>
  </si>
  <si>
    <t>HÉTFŐ</t>
  </si>
  <si>
    <t>17.00</t>
  </si>
  <si>
    <t>KINIZSI  pálya</t>
  </si>
  <si>
    <t>Hazai mérkőzése</t>
  </si>
  <si>
    <t>18.00</t>
  </si>
  <si>
    <t>17.30</t>
  </si>
  <si>
    <t>KISSTADION</t>
  </si>
  <si>
    <t>SZERDA</t>
  </si>
  <si>
    <t>19.00</t>
  </si>
  <si>
    <t>CSÜTÖRTÖK</t>
  </si>
  <si>
    <t>PÉNTEK</t>
  </si>
  <si>
    <t>16.00</t>
  </si>
  <si>
    <t>Bárkai Krisztián</t>
  </si>
  <si>
    <t>Lele József</t>
  </si>
  <si>
    <t>Szabó István</t>
  </si>
  <si>
    <t>Csíszér Előd</t>
  </si>
  <si>
    <t>Szögi Zoltán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</si>
  <si>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</si>
  <si>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</si>
  <si>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</si>
  <si>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</si>
  <si>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</si>
  <si>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</si>
  <si>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</si>
  <si>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</si>
  <si>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</si>
  <si>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</si>
  <si>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</si>
  <si>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</si>
  <si>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</si>
  <si>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</si>
  <si>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</si>
  <si>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Novum</t>
  </si>
  <si>
    <t>Démász</t>
  </si>
  <si>
    <t>Kedd</t>
  </si>
  <si>
    <t>Ludvig János</t>
  </si>
  <si>
    <t>Kenéz Ferenc</t>
  </si>
  <si>
    <t>Kun Mária</t>
  </si>
  <si>
    <t>Rangasz Pál</t>
  </si>
  <si>
    <t>Dezső Csaba</t>
  </si>
  <si>
    <t>Wéber Péter</t>
  </si>
  <si>
    <t>Szunyi József</t>
  </si>
  <si>
    <t>Bogdán Tamás</t>
  </si>
  <si>
    <t>Kántor János</t>
  </si>
  <si>
    <t>Huszka Bea</t>
  </si>
  <si>
    <t>Soós Béla</t>
  </si>
  <si>
    <t>Dobra Tamás</t>
  </si>
  <si>
    <t>Scheibli Zoltán</t>
  </si>
  <si>
    <t>Olajosné Krisztina</t>
  </si>
  <si>
    <t>Zsoldi Mária</t>
  </si>
  <si>
    <t>Andrási Csaba</t>
  </si>
  <si>
    <t>Szegedi Helga</t>
  </si>
  <si>
    <t>Tóth Anita</t>
  </si>
  <si>
    <t>Pontszám</t>
  </si>
  <si>
    <t>mérkőzés</t>
  </si>
  <si>
    <t>GY</t>
  </si>
  <si>
    <t>D</t>
  </si>
  <si>
    <t>V</t>
  </si>
  <si>
    <t>Szett pont</t>
  </si>
  <si>
    <t>csapat</t>
  </si>
  <si>
    <t>Domonyi János</t>
  </si>
  <si>
    <t>Benke Zoltán</t>
  </si>
  <si>
    <t>Pocsai Zoltán</t>
  </si>
  <si>
    <t>Gyuris Gellért</t>
  </si>
  <si>
    <t>Bárkányi János</t>
  </si>
  <si>
    <t>Maróti Katalin</t>
  </si>
  <si>
    <t>Farkas B. Kálmán</t>
  </si>
  <si>
    <t>Nagyné Marcsi</t>
  </si>
  <si>
    <t>16. Forduló</t>
  </si>
  <si>
    <t>17. Forduló</t>
  </si>
  <si>
    <t>Ifj. Faragó Zoltán</t>
  </si>
  <si>
    <t>ifj. Bordás László</t>
  </si>
  <si>
    <t>Tót Zsolt</t>
  </si>
  <si>
    <t>Gyuris Márk</t>
  </si>
  <si>
    <t>Braun József</t>
  </si>
  <si>
    <t>Giday Kálmán</t>
  </si>
  <si>
    <t>31. forduló</t>
  </si>
  <si>
    <t>32. forduló</t>
  </si>
  <si>
    <t>33. forduló</t>
  </si>
  <si>
    <t>34. forduló</t>
  </si>
  <si>
    <t>2010-2011-es bajnokság őszi eredmény</t>
  </si>
  <si>
    <t>Molnár Antal</t>
  </si>
  <si>
    <t>Papp Ákos</t>
  </si>
  <si>
    <t>EDF Démász</t>
  </si>
  <si>
    <t>Temesvári Ferenc</t>
  </si>
  <si>
    <t>Németh Tibor</t>
  </si>
  <si>
    <t>Papp Róbert</t>
  </si>
  <si>
    <t>Szombati János</t>
  </si>
  <si>
    <t>Csentes József</t>
  </si>
  <si>
    <t>2010-2011-es bajnokság végeredménye</t>
  </si>
  <si>
    <t>2010-2011-es bajnokság tavaszi eredmény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</si>
</sst>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 style="medium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Dashed"/>
      <bottom style="thin"/>
    </border>
    <border>
      <left style="medium"/>
      <right style="medium"/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33" xfId="0" applyBorder="1" applyAlignment="1">
      <alignment/>
    </xf>
    <xf numFmtId="3" fontId="2" fillId="0" borderId="49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3" fontId="1" fillId="0" borderId="4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nizsi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izs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2"/>
  <sheetViews>
    <sheetView tabSelected="1" workbookViewId="0" topLeftCell="C1">
      <selection activeCell="I10" sqref="I10:M10"/>
    </sheetView>
  </sheetViews>
  <sheetFormatPr defaultColWidth="9.00390625" defaultRowHeight="12.75"/>
  <cols>
    <col min="3" max="3" width="7.625" style="0" customWidth="1"/>
    <col min="4" max="4" width="12.625" style="0" bestFit="1" customWidth="1"/>
    <col min="5" max="5" width="9.875" style="0" customWidth="1"/>
    <col min="6" max="6" width="7.375" style="0" customWidth="1"/>
    <col min="7" max="7" width="5.75390625" style="0" customWidth="1"/>
    <col min="8" max="8" width="6.125" style="0" customWidth="1"/>
    <col min="9" max="9" width="7.00390625" style="0" customWidth="1"/>
    <col min="10" max="10" width="5.625" style="0" customWidth="1"/>
    <col min="11" max="11" width="10.375" style="0" bestFit="1" customWidth="1"/>
    <col min="12" max="12" width="6.875" style="0" customWidth="1"/>
    <col min="13" max="13" width="15.875" style="0" bestFit="1" customWidth="1"/>
  </cols>
  <sheetData>
    <row r="3" spans="4:12" ht="15.75">
      <c r="D3" s="184" t="s">
        <v>255</v>
      </c>
      <c r="E3" s="184"/>
      <c r="F3" s="184"/>
      <c r="G3" s="184"/>
      <c r="H3" s="184"/>
      <c r="I3" s="184"/>
      <c r="J3" s="184"/>
      <c r="K3" s="184"/>
      <c r="L3" s="184"/>
    </row>
    <row r="5" spans="3:13" ht="16.5" thickBot="1">
      <c r="C5" s="88"/>
      <c r="D5" s="89" t="s">
        <v>225</v>
      </c>
      <c r="E5" s="90" t="s">
        <v>220</v>
      </c>
      <c r="F5" s="91" t="s">
        <v>221</v>
      </c>
      <c r="G5" s="92" t="s">
        <v>222</v>
      </c>
      <c r="H5" s="93" t="s">
        <v>223</v>
      </c>
      <c r="I5" s="182" t="s">
        <v>224</v>
      </c>
      <c r="J5" s="183"/>
      <c r="K5" s="91" t="s">
        <v>219</v>
      </c>
      <c r="M5" s="12" t="s">
        <v>150</v>
      </c>
    </row>
    <row r="6" spans="3:13" ht="15.75">
      <c r="C6" s="94">
        <v>1</v>
      </c>
      <c r="D6" s="100" t="s">
        <v>26</v>
      </c>
      <c r="E6" s="109">
        <v>32</v>
      </c>
      <c r="F6" s="102">
        <v>26</v>
      </c>
      <c r="G6" s="94"/>
      <c r="H6" s="100">
        <v>6</v>
      </c>
      <c r="I6" s="163">
        <f>Santé!I27</f>
        <v>165</v>
      </c>
      <c r="J6" s="164">
        <f>Santé!J27</f>
        <v>91</v>
      </c>
      <c r="K6" s="86">
        <f>Santé!K27</f>
        <v>52</v>
      </c>
      <c r="M6" s="51">
        <f>Santé!L27</f>
        <v>74</v>
      </c>
    </row>
    <row r="7" spans="3:13" ht="15.75">
      <c r="C7" s="94">
        <v>2</v>
      </c>
      <c r="D7" s="100" t="s">
        <v>25</v>
      </c>
      <c r="E7" s="109">
        <v>32</v>
      </c>
      <c r="F7" s="102">
        <v>24</v>
      </c>
      <c r="G7" s="94">
        <v>2</v>
      </c>
      <c r="H7" s="100">
        <v>6</v>
      </c>
      <c r="I7" s="103">
        <f>'Szedd Le'!I27</f>
        <v>157</v>
      </c>
      <c r="J7" s="104">
        <f>'Szedd Le'!J27</f>
        <v>99</v>
      </c>
      <c r="K7" s="86">
        <f>'Szedd Le'!K27</f>
        <v>50</v>
      </c>
      <c r="M7" s="51">
        <f>'Szedd Le'!L27</f>
        <v>58</v>
      </c>
    </row>
    <row r="8" spans="3:13" ht="15.75">
      <c r="C8" s="94">
        <v>3</v>
      </c>
      <c r="D8" s="100" t="s">
        <v>30</v>
      </c>
      <c r="E8" s="109">
        <v>32</v>
      </c>
      <c r="F8" s="102">
        <v>22</v>
      </c>
      <c r="G8" s="94">
        <v>3</v>
      </c>
      <c r="H8" s="100">
        <v>7</v>
      </c>
      <c r="I8" s="103">
        <f>Kinizsi!I27</f>
        <v>162</v>
      </c>
      <c r="J8" s="104">
        <f>Kinizsi!J27</f>
        <v>94</v>
      </c>
      <c r="K8" s="86">
        <f>Kinizsi!K27</f>
        <v>47</v>
      </c>
      <c r="L8" s="161"/>
      <c r="M8" s="51">
        <f>Kinizsi!L27</f>
        <v>68</v>
      </c>
    </row>
    <row r="9" spans="3:16" ht="16.5" thickBot="1">
      <c r="C9" s="142">
        <v>4</v>
      </c>
      <c r="D9" s="149" t="s">
        <v>15</v>
      </c>
      <c r="E9" s="165">
        <v>32</v>
      </c>
      <c r="F9" s="150">
        <v>22</v>
      </c>
      <c r="G9" s="151">
        <v>2</v>
      </c>
      <c r="H9" s="149">
        <v>8</v>
      </c>
      <c r="I9" s="166">
        <f>Tápé!J27</f>
        <v>159</v>
      </c>
      <c r="J9" s="167">
        <f>Tápé!K27</f>
        <v>97</v>
      </c>
      <c r="K9" s="152">
        <f>Tápé!L27</f>
        <v>46</v>
      </c>
      <c r="L9" s="161"/>
      <c r="M9" s="57">
        <f>Tápé!M27</f>
        <v>62</v>
      </c>
      <c r="O9" s="2"/>
      <c r="P9" s="2"/>
    </row>
    <row r="10" spans="3:16" ht="15.75">
      <c r="C10" s="98">
        <v>5</v>
      </c>
      <c r="D10" s="153" t="s">
        <v>16</v>
      </c>
      <c r="E10" s="154">
        <v>32</v>
      </c>
      <c r="F10" s="155">
        <v>22</v>
      </c>
      <c r="G10" s="156">
        <v>2</v>
      </c>
      <c r="H10" s="153">
        <v>8</v>
      </c>
      <c r="I10" s="157">
        <f>Kalmár!I27</f>
        <v>159</v>
      </c>
      <c r="J10" s="158">
        <f>Kalmár!J27</f>
        <v>97</v>
      </c>
      <c r="K10" s="159">
        <f>Kalmár!L27</f>
        <v>46</v>
      </c>
      <c r="L10" s="162"/>
      <c r="M10" s="160">
        <f>Kalmár!M27</f>
        <v>62</v>
      </c>
      <c r="O10" s="2"/>
      <c r="P10" s="2"/>
    </row>
    <row r="11" spans="3:16" ht="15.75">
      <c r="C11" s="100">
        <v>6</v>
      </c>
      <c r="D11" s="98" t="s">
        <v>27</v>
      </c>
      <c r="E11" s="139">
        <v>32</v>
      </c>
      <c r="F11" s="88">
        <v>22</v>
      </c>
      <c r="G11" s="97"/>
      <c r="H11" s="98">
        <v>10</v>
      </c>
      <c r="I11" s="99">
        <f>Amazonok!I27</f>
        <v>155</v>
      </c>
      <c r="J11" s="95">
        <f>Amazonok!J27</f>
        <v>101</v>
      </c>
      <c r="K11" s="85">
        <f>Amazonok!K27</f>
        <v>44</v>
      </c>
      <c r="L11" s="161"/>
      <c r="M11" s="57">
        <f>Amazonok!L27</f>
        <v>54</v>
      </c>
      <c r="O11" s="2"/>
      <c r="P11" s="2"/>
    </row>
    <row r="12" spans="3:13" ht="15.75">
      <c r="C12" s="94">
        <v>7</v>
      </c>
      <c r="D12" s="149" t="s">
        <v>20</v>
      </c>
      <c r="E12" s="165">
        <v>32</v>
      </c>
      <c r="F12" s="150">
        <v>18</v>
      </c>
      <c r="G12" s="151">
        <v>2</v>
      </c>
      <c r="H12" s="149">
        <v>12</v>
      </c>
      <c r="I12" s="166">
        <f>'Anro ker'!I27</f>
        <v>151</v>
      </c>
      <c r="J12" s="167">
        <f>'Anro ker'!J27</f>
        <v>105</v>
      </c>
      <c r="K12" s="152">
        <f>'Anro ker'!K27</f>
        <v>38</v>
      </c>
      <c r="L12" s="177"/>
      <c r="M12" s="57">
        <f>'Anro ker'!L27</f>
        <v>46</v>
      </c>
    </row>
    <row r="13" spans="3:13" ht="16.5" thickBot="1">
      <c r="C13" s="141">
        <v>8</v>
      </c>
      <c r="D13" s="142" t="s">
        <v>18</v>
      </c>
      <c r="E13" s="143">
        <v>32</v>
      </c>
      <c r="F13" s="144">
        <v>19</v>
      </c>
      <c r="G13" s="141"/>
      <c r="H13" s="142">
        <v>13</v>
      </c>
      <c r="I13" s="145">
        <f>Phoenix!I27</f>
        <v>138</v>
      </c>
      <c r="J13" s="146">
        <f>Phoenix!J27</f>
        <v>118</v>
      </c>
      <c r="K13" s="147">
        <f>Phoenix!K27</f>
        <v>38</v>
      </c>
      <c r="L13" s="179"/>
      <c r="M13" s="148">
        <f>Phoenix!L27</f>
        <v>20</v>
      </c>
    </row>
    <row r="14" spans="3:13" ht="15.75">
      <c r="C14" s="97">
        <v>9</v>
      </c>
      <c r="D14" s="158" t="s">
        <v>17</v>
      </c>
      <c r="E14" s="154">
        <v>32</v>
      </c>
      <c r="F14" s="155">
        <v>17</v>
      </c>
      <c r="G14" s="156">
        <v>2</v>
      </c>
      <c r="H14" s="153">
        <v>13</v>
      </c>
      <c r="I14" s="157">
        <f>Privát!K27</f>
        <v>143</v>
      </c>
      <c r="J14" s="158">
        <f>Privát!L27</f>
        <v>113</v>
      </c>
      <c r="K14" s="159">
        <f>Privát!M27</f>
        <v>36</v>
      </c>
      <c r="M14" s="51">
        <f>Privát!N27</f>
        <v>30</v>
      </c>
    </row>
    <row r="15" spans="3:13" ht="15.75">
      <c r="C15" s="94">
        <v>10</v>
      </c>
      <c r="D15" s="98" t="s">
        <v>22</v>
      </c>
      <c r="E15" s="139">
        <v>32</v>
      </c>
      <c r="F15" s="88">
        <v>16</v>
      </c>
      <c r="G15" s="97">
        <v>3</v>
      </c>
      <c r="H15" s="98">
        <v>13</v>
      </c>
      <c r="I15" s="99">
        <f>'Dél Akku'!I27</f>
        <v>137</v>
      </c>
      <c r="J15" s="95">
        <f>'Dél Akku'!J27</f>
        <v>119</v>
      </c>
      <c r="K15" s="85">
        <f>'Dél Akku'!K27</f>
        <v>35</v>
      </c>
      <c r="M15" s="51">
        <f>'Dél Akku'!L27</f>
        <v>18</v>
      </c>
    </row>
    <row r="16" spans="3:13" ht="15.75">
      <c r="C16" s="94">
        <v>11</v>
      </c>
      <c r="D16" s="170" t="s">
        <v>21</v>
      </c>
      <c r="E16" s="171">
        <v>32</v>
      </c>
      <c r="F16" s="172">
        <v>15</v>
      </c>
      <c r="G16" s="173">
        <v>1</v>
      </c>
      <c r="H16" s="170">
        <v>16</v>
      </c>
      <c r="I16" s="174">
        <f>Szefo!J27</f>
        <v>129</v>
      </c>
      <c r="J16" s="175">
        <f>Szefo!K27</f>
        <v>127</v>
      </c>
      <c r="K16" s="176">
        <f>Szefo!L27</f>
        <v>31</v>
      </c>
      <c r="L16" s="177"/>
      <c r="M16" s="57">
        <f>Szefo!M27</f>
        <v>2</v>
      </c>
    </row>
    <row r="17" spans="3:13" ht="16.5" thickBot="1">
      <c r="C17" s="141">
        <v>12</v>
      </c>
      <c r="D17" s="142" t="s">
        <v>28</v>
      </c>
      <c r="E17" s="143">
        <v>32</v>
      </c>
      <c r="F17" s="144">
        <v>15</v>
      </c>
      <c r="G17" s="141">
        <v>1</v>
      </c>
      <c r="H17" s="142">
        <v>16</v>
      </c>
      <c r="I17" s="145">
        <f>Bolgár!K27</f>
        <v>126</v>
      </c>
      <c r="J17" s="146">
        <f>Bolgár!L27</f>
        <v>130</v>
      </c>
      <c r="K17" s="147">
        <f>Bolgár!M27</f>
        <v>31</v>
      </c>
      <c r="L17" s="179"/>
      <c r="M17" s="148">
        <f>Bolgár!N27</f>
        <v>-4</v>
      </c>
    </row>
    <row r="18" spans="3:13" ht="15.75">
      <c r="C18" s="97">
        <v>13</v>
      </c>
      <c r="D18" s="98" t="s">
        <v>32</v>
      </c>
      <c r="E18" s="139">
        <v>32</v>
      </c>
      <c r="F18" s="88">
        <v>8</v>
      </c>
      <c r="G18" s="97">
        <v>2</v>
      </c>
      <c r="H18" s="98">
        <v>22</v>
      </c>
      <c r="I18" s="99">
        <f>Pörc!I27</f>
        <v>104</v>
      </c>
      <c r="J18" s="95">
        <f>Pörc!J27</f>
        <v>152</v>
      </c>
      <c r="K18" s="85">
        <f>Pörc!K27</f>
        <v>18</v>
      </c>
      <c r="M18" s="51">
        <f>Pörc!L27</f>
        <v>-48</v>
      </c>
    </row>
    <row r="19" spans="3:13" ht="15.75">
      <c r="C19" s="94">
        <v>14</v>
      </c>
      <c r="D19" s="100" t="s">
        <v>198</v>
      </c>
      <c r="E19" s="101">
        <v>32</v>
      </c>
      <c r="F19" s="102">
        <v>5</v>
      </c>
      <c r="G19" s="94"/>
      <c r="H19" s="100">
        <v>27</v>
      </c>
      <c r="I19" s="103">
        <f>Novum!I27</f>
        <v>73</v>
      </c>
      <c r="J19" s="104">
        <f>Novum!J27</f>
        <v>183</v>
      </c>
      <c r="K19" s="86">
        <f>Novum!K27</f>
        <v>10</v>
      </c>
      <c r="M19" s="51">
        <f>Novum!L27</f>
        <v>-110</v>
      </c>
    </row>
    <row r="20" spans="3:13" ht="15.75">
      <c r="C20" s="94">
        <v>15</v>
      </c>
      <c r="D20" s="100" t="s">
        <v>19</v>
      </c>
      <c r="E20" s="109">
        <v>32</v>
      </c>
      <c r="F20" s="102">
        <v>4</v>
      </c>
      <c r="G20" s="94">
        <v>1</v>
      </c>
      <c r="H20" s="100">
        <v>27</v>
      </c>
      <c r="I20" s="103">
        <f>Guriga!I27</f>
        <v>84</v>
      </c>
      <c r="J20" s="104">
        <f>Guriga!J27</f>
        <v>172</v>
      </c>
      <c r="K20" s="86">
        <f>Guriga!K27</f>
        <v>9</v>
      </c>
      <c r="M20" s="51">
        <f>Guriga!L27</f>
        <v>-88</v>
      </c>
    </row>
    <row r="21" spans="3:13" ht="15.75">
      <c r="C21" s="94">
        <v>16</v>
      </c>
      <c r="D21" s="100" t="s">
        <v>249</v>
      </c>
      <c r="E21" s="101">
        <v>32</v>
      </c>
      <c r="F21" s="102">
        <v>3</v>
      </c>
      <c r="G21" s="94">
        <v>1</v>
      </c>
      <c r="H21" s="100">
        <v>28</v>
      </c>
      <c r="I21" s="103">
        <f>Démász!L27</f>
        <v>65</v>
      </c>
      <c r="J21" s="104">
        <f>Démász!M27</f>
        <v>191</v>
      </c>
      <c r="K21" s="86">
        <f>Démász!N27</f>
        <v>7</v>
      </c>
      <c r="M21" s="51">
        <f>Démász!O27</f>
        <v>-126</v>
      </c>
    </row>
    <row r="22" spans="3:13" ht="15.75">
      <c r="C22" s="94">
        <v>17</v>
      </c>
      <c r="D22" s="100" t="s">
        <v>24</v>
      </c>
      <c r="E22" s="101">
        <v>32</v>
      </c>
      <c r="F22" s="102">
        <v>3</v>
      </c>
      <c r="G22" s="94"/>
      <c r="H22" s="100">
        <v>29</v>
      </c>
      <c r="I22" s="103">
        <f>Postás!K27</f>
        <v>69</v>
      </c>
      <c r="J22" s="104">
        <f>Postás!L27</f>
        <v>187</v>
      </c>
      <c r="K22" s="86">
        <f>Postás!N27</f>
        <v>6</v>
      </c>
      <c r="M22" s="51">
        <f>Postás!O27</f>
        <v>-118</v>
      </c>
    </row>
  </sheetData>
  <mergeCells count="2">
    <mergeCell ref="I5:J5"/>
    <mergeCell ref="D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19">
      <selection activeCell="Q39" sqref="Q3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4" width="9.25390625" style="1" bestFit="1" customWidth="1"/>
    <col min="5" max="5" width="16.00390625" style="1" bestFit="1" customWidth="1"/>
    <col min="6" max="10" width="9.25390625" style="1" bestFit="1" customWidth="1"/>
    <col min="11" max="11" width="11.25390625" style="1" customWidth="1"/>
    <col min="12" max="12" width="10.753906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2.25" thickBot="1">
      <c r="B2" s="3" t="s">
        <v>29</v>
      </c>
      <c r="C2" s="9" t="s">
        <v>108</v>
      </c>
      <c r="D2" s="9" t="s">
        <v>109</v>
      </c>
      <c r="E2" s="9" t="s">
        <v>110</v>
      </c>
      <c r="F2" s="9" t="s">
        <v>111</v>
      </c>
      <c r="G2" s="9" t="s">
        <v>112</v>
      </c>
      <c r="H2" s="9" t="s">
        <v>113</v>
      </c>
      <c r="I2" s="9" t="s">
        <v>115</v>
      </c>
      <c r="J2" s="9" t="s">
        <v>231</v>
      </c>
      <c r="K2" s="9"/>
      <c r="L2" s="9" t="s">
        <v>232</v>
      </c>
      <c r="M2" s="3" t="s">
        <v>35</v>
      </c>
      <c r="N2" s="3" t="s">
        <v>18</v>
      </c>
      <c r="O2" s="3" t="s">
        <v>34</v>
      </c>
      <c r="P2" s="3" t="s">
        <v>36</v>
      </c>
      <c r="Q2" s="11" t="s">
        <v>134</v>
      </c>
    </row>
    <row r="3" spans="1:17" s="25" customFormat="1" ht="15.75">
      <c r="A3" s="20" t="s">
        <v>0</v>
      </c>
      <c r="B3" s="20" t="s">
        <v>15</v>
      </c>
      <c r="C3" s="73">
        <v>424</v>
      </c>
      <c r="D3" s="73">
        <v>438</v>
      </c>
      <c r="E3" s="47">
        <v>336</v>
      </c>
      <c r="F3" s="47">
        <v>393</v>
      </c>
      <c r="G3" s="47">
        <v>395</v>
      </c>
      <c r="H3" s="47">
        <v>345</v>
      </c>
      <c r="I3" s="47"/>
      <c r="J3" s="47"/>
      <c r="K3" s="47"/>
      <c r="L3" s="39"/>
      <c r="M3" s="23">
        <f>SUM(C3:L3)</f>
        <v>2331</v>
      </c>
      <c r="N3" s="20">
        <v>2</v>
      </c>
      <c r="O3" s="20">
        <v>6</v>
      </c>
      <c r="P3" s="20">
        <v>-213</v>
      </c>
      <c r="Q3" s="20">
        <v>0</v>
      </c>
    </row>
    <row r="4" spans="1:17" s="34" customFormat="1" ht="15.75">
      <c r="A4" s="29" t="s">
        <v>1</v>
      </c>
      <c r="B4" s="29" t="s">
        <v>27</v>
      </c>
      <c r="C4" s="74">
        <v>455</v>
      </c>
      <c r="D4" s="74">
        <v>461</v>
      </c>
      <c r="E4" s="48">
        <v>148</v>
      </c>
      <c r="F4" s="74">
        <v>445</v>
      </c>
      <c r="G4" s="48">
        <v>403</v>
      </c>
      <c r="H4" s="48"/>
      <c r="I4" s="48">
        <v>402</v>
      </c>
      <c r="J4" s="48">
        <v>179</v>
      </c>
      <c r="K4" s="48"/>
      <c r="L4" s="44"/>
      <c r="M4" s="32">
        <f aca="true" t="shared" si="0" ref="M4:M19">SUM(C4:L4)</f>
        <v>2493</v>
      </c>
      <c r="N4" s="29">
        <v>3</v>
      </c>
      <c r="O4" s="29">
        <v>5</v>
      </c>
      <c r="P4" s="32">
        <f>M4-2575</f>
        <v>-82</v>
      </c>
      <c r="Q4" s="29">
        <v>0</v>
      </c>
    </row>
    <row r="5" spans="1:17" s="25" customFormat="1" ht="15.75">
      <c r="A5" s="20" t="s">
        <v>2</v>
      </c>
      <c r="B5" s="20" t="s">
        <v>32</v>
      </c>
      <c r="C5" s="47">
        <v>415</v>
      </c>
      <c r="D5" s="73">
        <v>451</v>
      </c>
      <c r="E5" s="47">
        <v>139</v>
      </c>
      <c r="F5" s="73">
        <v>451</v>
      </c>
      <c r="G5" s="47">
        <v>382</v>
      </c>
      <c r="H5" s="47"/>
      <c r="I5" s="73">
        <v>437</v>
      </c>
      <c r="J5" s="47">
        <v>184</v>
      </c>
      <c r="K5" s="47"/>
      <c r="L5" s="39"/>
      <c r="M5" s="23">
        <f t="shared" si="0"/>
        <v>2459</v>
      </c>
      <c r="N5" s="20">
        <v>5</v>
      </c>
      <c r="O5" s="20">
        <v>3</v>
      </c>
      <c r="P5" s="20">
        <v>44</v>
      </c>
      <c r="Q5" s="20">
        <v>2</v>
      </c>
    </row>
    <row r="6" spans="1:17" s="34" customFormat="1" ht="15.75">
      <c r="A6" s="29" t="s">
        <v>3</v>
      </c>
      <c r="B6" s="29" t="s">
        <v>28</v>
      </c>
      <c r="C6" s="74">
        <v>440</v>
      </c>
      <c r="D6" s="74">
        <v>461</v>
      </c>
      <c r="E6" s="48"/>
      <c r="F6" s="74">
        <v>423</v>
      </c>
      <c r="G6" s="74">
        <v>427</v>
      </c>
      <c r="H6" s="48"/>
      <c r="I6" s="48">
        <v>423</v>
      </c>
      <c r="J6" s="48"/>
      <c r="K6" s="48"/>
      <c r="L6" s="44">
        <v>330</v>
      </c>
      <c r="M6" s="32">
        <f t="shared" si="0"/>
        <v>2504</v>
      </c>
      <c r="N6" s="29">
        <v>6</v>
      </c>
      <c r="O6" s="29">
        <v>2</v>
      </c>
      <c r="P6" s="29">
        <v>3</v>
      </c>
      <c r="Q6" s="29">
        <v>2</v>
      </c>
    </row>
    <row r="7" spans="1:17" s="25" customFormat="1" ht="15.75">
      <c r="A7" s="20" t="s">
        <v>4</v>
      </c>
      <c r="B7" s="20" t="s">
        <v>198</v>
      </c>
      <c r="C7" s="73">
        <v>428</v>
      </c>
      <c r="D7" s="73">
        <v>453</v>
      </c>
      <c r="E7" s="47">
        <v>310</v>
      </c>
      <c r="F7" s="73">
        <v>426</v>
      </c>
      <c r="G7" s="73">
        <v>406</v>
      </c>
      <c r="H7" s="47"/>
      <c r="I7" s="47">
        <v>390</v>
      </c>
      <c r="J7" s="47"/>
      <c r="K7" s="47"/>
      <c r="L7" s="39"/>
      <c r="M7" s="23">
        <f t="shared" si="0"/>
        <v>2413</v>
      </c>
      <c r="N7" s="20">
        <v>6</v>
      </c>
      <c r="O7" s="20">
        <v>2</v>
      </c>
      <c r="P7" s="23">
        <f>M7-2272</f>
        <v>141</v>
      </c>
      <c r="Q7" s="20">
        <v>2</v>
      </c>
    </row>
    <row r="8" spans="1:17" s="25" customFormat="1" ht="15.75">
      <c r="A8" s="20" t="s">
        <v>5</v>
      </c>
      <c r="B8" s="20" t="s">
        <v>16</v>
      </c>
      <c r="C8" s="73">
        <v>436</v>
      </c>
      <c r="D8" s="73">
        <v>463</v>
      </c>
      <c r="E8" s="47"/>
      <c r="F8" s="47">
        <v>413</v>
      </c>
      <c r="G8" s="73">
        <v>422</v>
      </c>
      <c r="H8" s="47"/>
      <c r="I8" s="47">
        <v>387</v>
      </c>
      <c r="J8" s="47">
        <v>201</v>
      </c>
      <c r="K8" s="47"/>
      <c r="L8" s="39">
        <v>192</v>
      </c>
      <c r="M8" s="23">
        <f t="shared" si="0"/>
        <v>2514</v>
      </c>
      <c r="N8" s="20">
        <v>3</v>
      </c>
      <c r="O8" s="20">
        <v>5</v>
      </c>
      <c r="P8" s="23">
        <v>-28</v>
      </c>
      <c r="Q8" s="20">
        <v>0</v>
      </c>
    </row>
    <row r="9" spans="1:17" s="34" customFormat="1" ht="15.75">
      <c r="A9" s="29" t="s">
        <v>6</v>
      </c>
      <c r="B9" s="29" t="s">
        <v>26</v>
      </c>
      <c r="C9" s="74">
        <v>473</v>
      </c>
      <c r="D9" s="74">
        <v>471</v>
      </c>
      <c r="E9" s="48"/>
      <c r="F9" s="48"/>
      <c r="G9" s="48">
        <v>398</v>
      </c>
      <c r="H9" s="48"/>
      <c r="I9" s="48">
        <v>406</v>
      </c>
      <c r="J9" s="48">
        <v>334</v>
      </c>
      <c r="K9" s="48"/>
      <c r="L9" s="44">
        <v>405</v>
      </c>
      <c r="M9" s="32">
        <f t="shared" si="0"/>
        <v>2487</v>
      </c>
      <c r="N9" s="29">
        <v>2</v>
      </c>
      <c r="O9" s="29">
        <v>6</v>
      </c>
      <c r="P9" s="32">
        <f>M9-2509</f>
        <v>-22</v>
      </c>
      <c r="Q9" s="29">
        <v>0</v>
      </c>
    </row>
    <row r="10" spans="1:17" s="25" customFormat="1" ht="15.75">
      <c r="A10" s="20" t="s">
        <v>7</v>
      </c>
      <c r="B10" s="20" t="s">
        <v>20</v>
      </c>
      <c r="C10" s="73">
        <v>428</v>
      </c>
      <c r="D10" s="47"/>
      <c r="E10" s="47"/>
      <c r="F10" s="73">
        <v>417</v>
      </c>
      <c r="G10" s="47">
        <v>382</v>
      </c>
      <c r="H10" s="47"/>
      <c r="I10" s="47">
        <v>387</v>
      </c>
      <c r="J10" s="47">
        <v>334</v>
      </c>
      <c r="K10" s="47"/>
      <c r="L10" s="39">
        <v>344</v>
      </c>
      <c r="M10" s="23">
        <f t="shared" si="0"/>
        <v>2292</v>
      </c>
      <c r="N10" s="20">
        <v>2</v>
      </c>
      <c r="O10" s="20">
        <v>6</v>
      </c>
      <c r="P10" s="20">
        <v>-206</v>
      </c>
      <c r="Q10" s="20">
        <v>0</v>
      </c>
    </row>
    <row r="11" spans="1:17" s="34" customFormat="1" ht="15.75">
      <c r="A11" s="29" t="s">
        <v>8</v>
      </c>
      <c r="B11" s="29" t="s">
        <v>22</v>
      </c>
      <c r="C11" s="74">
        <v>448</v>
      </c>
      <c r="D11" s="74">
        <v>472</v>
      </c>
      <c r="E11" s="48"/>
      <c r="F11" s="48">
        <v>407</v>
      </c>
      <c r="G11" s="74">
        <v>411</v>
      </c>
      <c r="H11" s="48"/>
      <c r="I11" s="74">
        <v>408</v>
      </c>
      <c r="J11" s="48"/>
      <c r="K11" s="48"/>
      <c r="L11" s="44">
        <v>360</v>
      </c>
      <c r="M11" s="32">
        <f t="shared" si="0"/>
        <v>2506</v>
      </c>
      <c r="N11" s="29">
        <v>6</v>
      </c>
      <c r="O11" s="29">
        <v>2</v>
      </c>
      <c r="P11" s="32">
        <v>68</v>
      </c>
      <c r="Q11" s="29">
        <v>2</v>
      </c>
    </row>
    <row r="12" spans="1:17" s="25" customFormat="1" ht="15.75">
      <c r="A12" s="20" t="s">
        <v>9</v>
      </c>
      <c r="B12" s="20" t="s">
        <v>30</v>
      </c>
      <c r="C12" s="73">
        <v>428</v>
      </c>
      <c r="D12" s="73">
        <v>456</v>
      </c>
      <c r="E12" s="47">
        <v>132</v>
      </c>
      <c r="F12" s="47">
        <v>408</v>
      </c>
      <c r="G12" s="47">
        <v>387</v>
      </c>
      <c r="H12" s="47"/>
      <c r="I12" s="47"/>
      <c r="J12" s="47">
        <v>177</v>
      </c>
      <c r="K12" s="47"/>
      <c r="L12" s="39">
        <v>388</v>
      </c>
      <c r="M12" s="23">
        <f t="shared" si="0"/>
        <v>2376</v>
      </c>
      <c r="N12" s="20">
        <v>2</v>
      </c>
      <c r="O12" s="20">
        <v>6</v>
      </c>
      <c r="P12" s="20">
        <v>-192</v>
      </c>
      <c r="Q12" s="20">
        <v>0</v>
      </c>
    </row>
    <row r="13" spans="1:17" s="34" customFormat="1" ht="15.75">
      <c r="A13" s="29" t="s">
        <v>10</v>
      </c>
      <c r="B13" s="30" t="s">
        <v>19</v>
      </c>
      <c r="C13" s="105">
        <v>474</v>
      </c>
      <c r="D13" s="48"/>
      <c r="E13" s="48"/>
      <c r="F13" s="105">
        <v>413</v>
      </c>
      <c r="G13" s="105">
        <v>419</v>
      </c>
      <c r="H13" s="52"/>
      <c r="I13" s="105">
        <v>428</v>
      </c>
      <c r="J13" s="52">
        <v>354</v>
      </c>
      <c r="K13" s="52"/>
      <c r="L13" s="44">
        <v>399</v>
      </c>
      <c r="M13" s="32">
        <f t="shared" si="0"/>
        <v>2487</v>
      </c>
      <c r="N13" s="29">
        <v>6</v>
      </c>
      <c r="O13" s="29">
        <v>2</v>
      </c>
      <c r="P13" s="29">
        <v>35</v>
      </c>
      <c r="Q13" s="29">
        <v>2</v>
      </c>
    </row>
    <row r="14" spans="1:17" s="25" customFormat="1" ht="15.75">
      <c r="A14" s="20" t="s">
        <v>11</v>
      </c>
      <c r="B14" s="20" t="s">
        <v>24</v>
      </c>
      <c r="C14" s="73">
        <v>417</v>
      </c>
      <c r="D14" s="47">
        <v>210</v>
      </c>
      <c r="E14" s="47">
        <v>160</v>
      </c>
      <c r="F14" s="47">
        <v>205</v>
      </c>
      <c r="G14" s="73">
        <v>396</v>
      </c>
      <c r="H14" s="47"/>
      <c r="I14" s="73">
        <v>432</v>
      </c>
      <c r="J14" s="47">
        <v>156</v>
      </c>
      <c r="K14" s="47"/>
      <c r="L14" s="107">
        <v>409</v>
      </c>
      <c r="M14" s="23">
        <f t="shared" si="0"/>
        <v>2385</v>
      </c>
      <c r="N14" s="20">
        <v>6</v>
      </c>
      <c r="O14" s="20">
        <v>2</v>
      </c>
      <c r="P14" s="23">
        <f>M14-2183</f>
        <v>202</v>
      </c>
      <c r="Q14" s="20">
        <v>2</v>
      </c>
    </row>
    <row r="15" spans="1:17" s="34" customFormat="1" ht="15.75">
      <c r="A15" s="29" t="s">
        <v>12</v>
      </c>
      <c r="B15" s="29" t="s">
        <v>199</v>
      </c>
      <c r="C15" s="74">
        <v>424</v>
      </c>
      <c r="D15" s="74">
        <v>474</v>
      </c>
      <c r="E15" s="48"/>
      <c r="F15" s="48">
        <v>390</v>
      </c>
      <c r="G15" s="48">
        <v>195</v>
      </c>
      <c r="H15" s="48"/>
      <c r="I15" s="74">
        <v>411</v>
      </c>
      <c r="J15" s="48">
        <v>185</v>
      </c>
      <c r="K15" s="48"/>
      <c r="L15" s="44">
        <v>391</v>
      </c>
      <c r="M15" s="32">
        <f t="shared" si="0"/>
        <v>2470</v>
      </c>
      <c r="N15" s="29">
        <v>5</v>
      </c>
      <c r="O15" s="29">
        <v>3</v>
      </c>
      <c r="P15" s="32">
        <v>215</v>
      </c>
      <c r="Q15" s="29">
        <v>2</v>
      </c>
    </row>
    <row r="16" spans="1:17" s="64" customFormat="1" ht="15.75">
      <c r="A16" s="63" t="s">
        <v>13</v>
      </c>
      <c r="B16" s="63" t="s">
        <v>23</v>
      </c>
      <c r="C16" s="81"/>
      <c r="D16" s="81"/>
      <c r="E16" s="81"/>
      <c r="F16" s="81"/>
      <c r="G16" s="81"/>
      <c r="H16" s="81"/>
      <c r="I16" s="81"/>
      <c r="J16" s="81"/>
      <c r="K16" s="81"/>
      <c r="L16" s="83"/>
      <c r="M16" s="71">
        <f t="shared" si="0"/>
        <v>0</v>
      </c>
      <c r="N16" s="63"/>
      <c r="O16" s="63"/>
      <c r="P16" s="71"/>
      <c r="Q16" s="63"/>
    </row>
    <row r="17" spans="1:17" s="34" customFormat="1" ht="15.75">
      <c r="A17" s="29" t="s">
        <v>14</v>
      </c>
      <c r="B17" s="29" t="s">
        <v>21</v>
      </c>
      <c r="C17" s="74">
        <v>447</v>
      </c>
      <c r="D17" s="74">
        <v>451</v>
      </c>
      <c r="E17" s="48"/>
      <c r="F17" s="48">
        <v>406</v>
      </c>
      <c r="G17" s="74">
        <v>441</v>
      </c>
      <c r="H17" s="48"/>
      <c r="I17" s="48">
        <v>414</v>
      </c>
      <c r="J17" s="48"/>
      <c r="K17" s="48"/>
      <c r="L17" s="78">
        <v>430</v>
      </c>
      <c r="M17" s="32">
        <f t="shared" si="0"/>
        <v>2589</v>
      </c>
      <c r="N17" s="29">
        <v>6</v>
      </c>
      <c r="O17" s="29">
        <v>2</v>
      </c>
      <c r="P17" s="32">
        <v>73</v>
      </c>
      <c r="Q17" s="29">
        <v>2</v>
      </c>
    </row>
    <row r="18" spans="1:17" s="25" customFormat="1" ht="15.75">
      <c r="A18" s="20" t="s">
        <v>234</v>
      </c>
      <c r="B18" s="20" t="s">
        <v>25</v>
      </c>
      <c r="C18" s="47">
        <v>412</v>
      </c>
      <c r="D18" s="73">
        <v>440</v>
      </c>
      <c r="E18" s="47"/>
      <c r="F18" s="73">
        <v>433</v>
      </c>
      <c r="G18" s="47">
        <v>426</v>
      </c>
      <c r="H18" s="47"/>
      <c r="I18" s="47">
        <v>397</v>
      </c>
      <c r="J18" s="47"/>
      <c r="K18" s="47"/>
      <c r="L18" s="39">
        <v>385</v>
      </c>
      <c r="M18" s="23">
        <f t="shared" si="0"/>
        <v>2493</v>
      </c>
      <c r="N18" s="20">
        <v>2</v>
      </c>
      <c r="O18" s="20">
        <v>6</v>
      </c>
      <c r="P18" s="23">
        <v>-72</v>
      </c>
      <c r="Q18" s="20">
        <v>0</v>
      </c>
    </row>
    <row r="19" spans="1:17" s="34" customFormat="1" ht="16.5" thickBot="1">
      <c r="A19" s="29" t="s">
        <v>235</v>
      </c>
      <c r="B19" s="29" t="s">
        <v>17</v>
      </c>
      <c r="C19" s="135">
        <v>450</v>
      </c>
      <c r="D19" s="135">
        <v>477</v>
      </c>
      <c r="E19" s="50"/>
      <c r="F19" s="50">
        <v>416</v>
      </c>
      <c r="G19" s="50">
        <v>424</v>
      </c>
      <c r="H19" s="135">
        <v>429</v>
      </c>
      <c r="I19" s="50"/>
      <c r="J19" s="50"/>
      <c r="K19" s="50"/>
      <c r="L19" s="41">
        <v>406</v>
      </c>
      <c r="M19" s="42">
        <f t="shared" si="0"/>
        <v>2602</v>
      </c>
      <c r="N19" s="43">
        <v>5</v>
      </c>
      <c r="O19" s="43">
        <v>3</v>
      </c>
      <c r="P19" s="43">
        <v>60</v>
      </c>
      <c r="Q19" s="43">
        <v>2</v>
      </c>
    </row>
    <row r="20" spans="3:12" ht="16.5" thickTop="1">
      <c r="C20" s="6">
        <f>SUM(C3:C19)</f>
        <v>6999</v>
      </c>
      <c r="D20" s="6">
        <f aca="true" t="shared" si="1" ref="D20:L20">SUM(D3:D19)</f>
        <v>6178</v>
      </c>
      <c r="E20" s="6">
        <f>SUM(E3:E19)</f>
        <v>1225</v>
      </c>
      <c r="F20" s="6">
        <f t="shared" si="1"/>
        <v>6046</v>
      </c>
      <c r="G20" s="6">
        <f t="shared" si="1"/>
        <v>6314</v>
      </c>
      <c r="H20" s="6">
        <f t="shared" si="1"/>
        <v>774</v>
      </c>
      <c r="I20" s="6">
        <f t="shared" si="1"/>
        <v>5322</v>
      </c>
      <c r="J20" s="6">
        <f t="shared" si="1"/>
        <v>2104</v>
      </c>
      <c r="K20" s="6">
        <f t="shared" si="1"/>
        <v>0</v>
      </c>
      <c r="L20" s="6">
        <f t="shared" si="1"/>
        <v>4439</v>
      </c>
    </row>
    <row r="21" spans="2:19" ht="35.25" customHeight="1">
      <c r="B21" s="12" t="s">
        <v>152</v>
      </c>
      <c r="C21" s="17">
        <f>AVERAGE(C3:C19)</f>
        <v>437.4375</v>
      </c>
      <c r="D21" s="17">
        <f>D20/13.5</f>
        <v>457.6296296296296</v>
      </c>
      <c r="E21" s="17">
        <f>E20/4</f>
        <v>306.25</v>
      </c>
      <c r="F21" s="17">
        <f>F20/14.5</f>
        <v>416.9655172413793</v>
      </c>
      <c r="G21" s="17">
        <f>G20/15.5</f>
        <v>407.35483870967744</v>
      </c>
      <c r="H21" s="17">
        <f>AVERAGE(H3:H19)</f>
        <v>387</v>
      </c>
      <c r="I21" s="17">
        <f>AVERAGE(I3:I19)</f>
        <v>409.38461538461536</v>
      </c>
      <c r="J21" s="17">
        <f>J20/6</f>
        <v>350.6666666666667</v>
      </c>
      <c r="K21" s="17"/>
      <c r="L21" s="17">
        <f>L20/11.5</f>
        <v>386</v>
      </c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39401</v>
      </c>
      <c r="N22" s="1">
        <f>SUM(N3:N19)</f>
        <v>67</v>
      </c>
      <c r="O22" s="1">
        <f>SUM(O3:O19)</f>
        <v>61</v>
      </c>
      <c r="P22" s="1">
        <f>SUM(P3:P19)</f>
        <v>26</v>
      </c>
      <c r="Q22" s="1">
        <f>SUM(Q3:Q19)</f>
        <v>18</v>
      </c>
      <c r="S22" s="2">
        <f>N22-O22</f>
        <v>6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SUM(M3:M19)/16</f>
        <v>2462.5625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1:13" ht="15.75">
      <c r="A27" s="128" t="s">
        <v>169</v>
      </c>
      <c r="B27" s="129"/>
      <c r="C27" s="129" t="s">
        <v>173</v>
      </c>
      <c r="D27" s="129" t="s">
        <v>174</v>
      </c>
      <c r="E27" s="186" t="s">
        <v>168</v>
      </c>
      <c r="F27" s="186"/>
      <c r="I27" s="1">
        <f>N22+N48</f>
        <v>138</v>
      </c>
      <c r="J27" s="1">
        <f>O22+O48</f>
        <v>118</v>
      </c>
      <c r="K27" s="1">
        <f>Q22+Q48</f>
        <v>38</v>
      </c>
      <c r="L27" s="187">
        <f>I27-J27</f>
        <v>20</v>
      </c>
      <c r="M27" s="187"/>
    </row>
    <row r="28" ht="15.75">
      <c r="F28" s="57"/>
    </row>
    <row r="30" spans="2:17" ht="32.25" thickBot="1">
      <c r="B30" s="3" t="s">
        <v>29</v>
      </c>
      <c r="C30" s="9" t="s">
        <v>108</v>
      </c>
      <c r="D30" s="9" t="s">
        <v>109</v>
      </c>
      <c r="E30" s="9" t="s">
        <v>110</v>
      </c>
      <c r="F30" s="9" t="s">
        <v>111</v>
      </c>
      <c r="G30" s="9" t="s">
        <v>112</v>
      </c>
      <c r="H30" s="9" t="s">
        <v>113</v>
      </c>
      <c r="I30" s="9" t="s">
        <v>115</v>
      </c>
      <c r="J30" s="9" t="s">
        <v>231</v>
      </c>
      <c r="K30" s="9"/>
      <c r="L30" s="9" t="s">
        <v>232</v>
      </c>
      <c r="M30" s="3" t="s">
        <v>35</v>
      </c>
      <c r="N30" s="3" t="s">
        <v>18</v>
      </c>
      <c r="O30" s="3" t="s">
        <v>34</v>
      </c>
      <c r="P30" s="3" t="s">
        <v>36</v>
      </c>
      <c r="Q30" s="11" t="s">
        <v>134</v>
      </c>
    </row>
    <row r="31" spans="1:17" s="34" customFormat="1" ht="15.75">
      <c r="A31" s="29" t="s">
        <v>185</v>
      </c>
      <c r="B31" s="29" t="s">
        <v>15</v>
      </c>
      <c r="C31" s="87">
        <v>457</v>
      </c>
      <c r="D31" s="87">
        <v>437</v>
      </c>
      <c r="E31" s="35"/>
      <c r="F31" s="35">
        <v>406</v>
      </c>
      <c r="G31" s="35">
        <v>408</v>
      </c>
      <c r="H31" s="35"/>
      <c r="I31" s="35">
        <v>396</v>
      </c>
      <c r="J31" s="29"/>
      <c r="K31" s="29"/>
      <c r="L31" s="29">
        <v>383</v>
      </c>
      <c r="M31" s="29">
        <f>SUM(C31:L31)</f>
        <v>2487</v>
      </c>
      <c r="N31" s="29">
        <v>2</v>
      </c>
      <c r="O31" s="29">
        <v>6</v>
      </c>
      <c r="P31" s="29">
        <v>-116</v>
      </c>
      <c r="Q31" s="29">
        <v>0</v>
      </c>
    </row>
    <row r="32" spans="1:17" s="25" customFormat="1" ht="15.75">
      <c r="A32" s="20" t="s">
        <v>186</v>
      </c>
      <c r="B32" s="20" t="s">
        <v>27</v>
      </c>
      <c r="C32" s="79">
        <v>434</v>
      </c>
      <c r="D32" s="79">
        <v>459</v>
      </c>
      <c r="E32" s="37"/>
      <c r="F32" s="37">
        <v>408</v>
      </c>
      <c r="G32" s="37">
        <v>415</v>
      </c>
      <c r="H32" s="37"/>
      <c r="I32" s="37"/>
      <c r="J32" s="20">
        <v>377</v>
      </c>
      <c r="K32" s="20"/>
      <c r="L32" s="20">
        <v>400</v>
      </c>
      <c r="M32" s="20">
        <f>SUM(C32:L32)</f>
        <v>2493</v>
      </c>
      <c r="N32" s="20">
        <v>2</v>
      </c>
      <c r="O32" s="20">
        <v>6</v>
      </c>
      <c r="P32" s="20">
        <f>M32-2632</f>
        <v>-139</v>
      </c>
      <c r="Q32" s="20">
        <v>0</v>
      </c>
    </row>
    <row r="33" spans="1:17" s="34" customFormat="1" ht="15.75">
      <c r="A33" s="29" t="s">
        <v>187</v>
      </c>
      <c r="B33" s="29" t="s">
        <v>32</v>
      </c>
      <c r="C33" s="87">
        <v>421</v>
      </c>
      <c r="D33" s="87">
        <v>446</v>
      </c>
      <c r="E33" s="35"/>
      <c r="F33" s="35">
        <v>402</v>
      </c>
      <c r="G33" s="35">
        <v>403</v>
      </c>
      <c r="H33" s="87">
        <v>420</v>
      </c>
      <c r="I33" s="35"/>
      <c r="J33" s="29"/>
      <c r="K33" s="29"/>
      <c r="L33" s="29">
        <v>391</v>
      </c>
      <c r="M33" s="29">
        <f>SUM(C33:L33)</f>
        <v>2483</v>
      </c>
      <c r="N33" s="29">
        <v>5</v>
      </c>
      <c r="O33" s="29">
        <v>3</v>
      </c>
      <c r="P33" s="29">
        <v>13</v>
      </c>
      <c r="Q33" s="29">
        <v>2</v>
      </c>
    </row>
    <row r="34" spans="1:17" s="25" customFormat="1" ht="15.75">
      <c r="A34" s="20" t="s">
        <v>188</v>
      </c>
      <c r="B34" s="20" t="s">
        <v>28</v>
      </c>
      <c r="C34" s="79">
        <v>447</v>
      </c>
      <c r="D34" s="79">
        <v>452</v>
      </c>
      <c r="E34" s="37"/>
      <c r="F34" s="79">
        <v>417</v>
      </c>
      <c r="G34" s="79">
        <v>415</v>
      </c>
      <c r="H34" s="37"/>
      <c r="I34" s="79">
        <v>431</v>
      </c>
      <c r="J34" s="20"/>
      <c r="K34" s="20"/>
      <c r="L34" s="20">
        <v>361</v>
      </c>
      <c r="M34" s="20">
        <f>SUM(C34:L34)</f>
        <v>2523</v>
      </c>
      <c r="N34" s="20">
        <v>7</v>
      </c>
      <c r="O34" s="20">
        <v>1</v>
      </c>
      <c r="P34" s="20">
        <f>M34-2421</f>
        <v>102</v>
      </c>
      <c r="Q34" s="20">
        <v>2</v>
      </c>
    </row>
    <row r="35" spans="1:17" s="34" customFormat="1" ht="15.75">
      <c r="A35" s="29" t="s">
        <v>189</v>
      </c>
      <c r="B35" s="29" t="s">
        <v>198</v>
      </c>
      <c r="C35" s="87">
        <v>442</v>
      </c>
      <c r="D35" s="87">
        <v>424</v>
      </c>
      <c r="E35" s="35"/>
      <c r="F35" s="35">
        <v>411</v>
      </c>
      <c r="G35" s="87">
        <v>420</v>
      </c>
      <c r="H35" s="35"/>
      <c r="I35" s="87">
        <v>458</v>
      </c>
      <c r="J35" s="29"/>
      <c r="K35" s="29"/>
      <c r="L35" s="87">
        <v>430</v>
      </c>
      <c r="M35" s="29">
        <f>SUM(C35:L35)</f>
        <v>2585</v>
      </c>
      <c r="N35" s="29">
        <v>7</v>
      </c>
      <c r="O35" s="29">
        <v>1</v>
      </c>
      <c r="P35" s="29">
        <f>M35-2394</f>
        <v>191</v>
      </c>
      <c r="Q35" s="29">
        <v>2</v>
      </c>
    </row>
    <row r="36" spans="1:17" s="34" customFormat="1" ht="15.75">
      <c r="A36" s="29" t="s">
        <v>190</v>
      </c>
      <c r="B36" s="29" t="s">
        <v>16</v>
      </c>
      <c r="C36" s="87">
        <v>448</v>
      </c>
      <c r="D36" s="87">
        <v>479</v>
      </c>
      <c r="E36" s="35"/>
      <c r="F36" s="35">
        <v>391</v>
      </c>
      <c r="G36" s="87">
        <v>435</v>
      </c>
      <c r="H36" s="35"/>
      <c r="I36" s="35">
        <v>415</v>
      </c>
      <c r="J36" s="29"/>
      <c r="K36" s="29"/>
      <c r="L36" s="29">
        <v>375</v>
      </c>
      <c r="M36" s="29">
        <f aca="true" t="shared" si="2" ref="M36:M46">SUM(C36:L36)</f>
        <v>2543</v>
      </c>
      <c r="N36" s="29">
        <v>3</v>
      </c>
      <c r="O36" s="29">
        <v>5</v>
      </c>
      <c r="P36" s="29">
        <v>-7</v>
      </c>
      <c r="Q36" s="29">
        <v>0</v>
      </c>
    </row>
    <row r="37" spans="1:17" s="25" customFormat="1" ht="15.75">
      <c r="A37" s="20" t="s">
        <v>191</v>
      </c>
      <c r="B37" s="20" t="s">
        <v>26</v>
      </c>
      <c r="C37" s="79">
        <v>414</v>
      </c>
      <c r="D37" s="79">
        <v>427</v>
      </c>
      <c r="E37" s="37"/>
      <c r="F37" s="37">
        <v>374</v>
      </c>
      <c r="G37" s="79">
        <v>453</v>
      </c>
      <c r="H37" s="37"/>
      <c r="I37" s="37">
        <v>374</v>
      </c>
      <c r="J37" s="20"/>
      <c r="K37" s="20"/>
      <c r="L37" s="20">
        <v>339</v>
      </c>
      <c r="M37" s="20">
        <f t="shared" si="2"/>
        <v>2381</v>
      </c>
      <c r="N37" s="20">
        <v>3</v>
      </c>
      <c r="O37" s="20">
        <v>5</v>
      </c>
      <c r="P37" s="20">
        <v>-120</v>
      </c>
      <c r="Q37" s="20">
        <v>0</v>
      </c>
    </row>
    <row r="38" spans="1:17" s="34" customFormat="1" ht="15.75">
      <c r="A38" s="29" t="s">
        <v>192</v>
      </c>
      <c r="B38" s="29" t="s">
        <v>20</v>
      </c>
      <c r="C38" s="87">
        <v>459</v>
      </c>
      <c r="D38" s="87">
        <v>439</v>
      </c>
      <c r="E38" s="35"/>
      <c r="F38" s="35">
        <v>400</v>
      </c>
      <c r="G38" s="87">
        <v>447</v>
      </c>
      <c r="H38" s="35"/>
      <c r="I38" s="35">
        <v>395</v>
      </c>
      <c r="J38" s="29"/>
      <c r="K38" s="29"/>
      <c r="L38" s="29">
        <v>403</v>
      </c>
      <c r="M38" s="29">
        <f t="shared" si="2"/>
        <v>2543</v>
      </c>
      <c r="N38" s="29">
        <v>5</v>
      </c>
      <c r="O38" s="29">
        <v>3</v>
      </c>
      <c r="P38" s="29">
        <f>M38-2412</f>
        <v>131</v>
      </c>
      <c r="Q38" s="29">
        <v>2</v>
      </c>
    </row>
    <row r="39" spans="1:17" s="25" customFormat="1" ht="15.75">
      <c r="A39" s="20" t="s">
        <v>193</v>
      </c>
      <c r="B39" s="20" t="s">
        <v>22</v>
      </c>
      <c r="C39" s="37">
        <v>405</v>
      </c>
      <c r="D39" s="79">
        <v>430</v>
      </c>
      <c r="E39" s="37"/>
      <c r="F39" s="37">
        <v>382</v>
      </c>
      <c r="G39" s="37">
        <v>404</v>
      </c>
      <c r="H39" s="37">
        <v>397</v>
      </c>
      <c r="I39" s="37"/>
      <c r="J39" s="20"/>
      <c r="K39" s="20"/>
      <c r="L39" s="79">
        <v>412</v>
      </c>
      <c r="M39" s="20">
        <f t="shared" si="2"/>
        <v>2430</v>
      </c>
      <c r="N39" s="20">
        <v>2</v>
      </c>
      <c r="O39" s="20">
        <v>6</v>
      </c>
      <c r="P39" s="20">
        <v>-26</v>
      </c>
      <c r="Q39" s="20">
        <v>0</v>
      </c>
    </row>
    <row r="40" spans="1:17" s="34" customFormat="1" ht="15.75">
      <c r="A40" s="29" t="s">
        <v>194</v>
      </c>
      <c r="B40" s="29" t="s">
        <v>30</v>
      </c>
      <c r="C40" s="87">
        <v>462</v>
      </c>
      <c r="D40" s="87">
        <v>474</v>
      </c>
      <c r="E40" s="35"/>
      <c r="F40" s="35">
        <v>411</v>
      </c>
      <c r="G40" s="35">
        <v>401</v>
      </c>
      <c r="H40" s="35"/>
      <c r="I40" s="87">
        <v>425</v>
      </c>
      <c r="J40" s="29"/>
      <c r="K40" s="29"/>
      <c r="L40" s="29">
        <v>398</v>
      </c>
      <c r="M40" s="29">
        <f t="shared" si="2"/>
        <v>2571</v>
      </c>
      <c r="N40" s="29">
        <v>5</v>
      </c>
      <c r="O40" s="29">
        <v>3</v>
      </c>
      <c r="P40" s="29">
        <f>M40-2509</f>
        <v>62</v>
      </c>
      <c r="Q40" s="29">
        <v>2</v>
      </c>
    </row>
    <row r="41" spans="1:17" s="25" customFormat="1" ht="15.75">
      <c r="A41" s="20" t="s">
        <v>195</v>
      </c>
      <c r="B41" s="21" t="s">
        <v>19</v>
      </c>
      <c r="C41" s="79">
        <v>474</v>
      </c>
      <c r="D41" s="79">
        <v>442</v>
      </c>
      <c r="E41" s="20"/>
      <c r="F41" s="20">
        <v>377</v>
      </c>
      <c r="G41" s="79">
        <v>421</v>
      </c>
      <c r="H41" s="20">
        <v>378</v>
      </c>
      <c r="I41" s="20"/>
      <c r="J41" s="20"/>
      <c r="K41" s="20"/>
      <c r="L41" s="20">
        <v>385</v>
      </c>
      <c r="M41" s="20">
        <f t="shared" si="2"/>
        <v>2477</v>
      </c>
      <c r="N41" s="20">
        <v>5</v>
      </c>
      <c r="O41" s="20">
        <v>3</v>
      </c>
      <c r="P41" s="20">
        <v>5</v>
      </c>
      <c r="Q41" s="20">
        <v>2</v>
      </c>
    </row>
    <row r="42" spans="1:17" s="34" customFormat="1" ht="15.75">
      <c r="A42" s="29" t="s">
        <v>196</v>
      </c>
      <c r="B42" s="29" t="s">
        <v>24</v>
      </c>
      <c r="C42" s="87">
        <v>440</v>
      </c>
      <c r="D42" s="29"/>
      <c r="E42" s="29"/>
      <c r="F42" s="87">
        <v>416</v>
      </c>
      <c r="G42" s="29">
        <v>410</v>
      </c>
      <c r="H42" s="87">
        <v>425</v>
      </c>
      <c r="I42" s="87">
        <v>457</v>
      </c>
      <c r="J42" s="29"/>
      <c r="K42" s="29"/>
      <c r="L42" s="29">
        <v>398</v>
      </c>
      <c r="M42" s="29">
        <f t="shared" si="2"/>
        <v>2546</v>
      </c>
      <c r="N42" s="29">
        <v>6</v>
      </c>
      <c r="O42" s="29">
        <v>2</v>
      </c>
      <c r="P42" s="29">
        <v>148</v>
      </c>
      <c r="Q42" s="29">
        <v>2</v>
      </c>
    </row>
    <row r="43" spans="1:17" s="25" customFormat="1" ht="15.75">
      <c r="A43" s="20" t="s">
        <v>197</v>
      </c>
      <c r="B43" s="20" t="s">
        <v>199</v>
      </c>
      <c r="C43" s="79">
        <v>455</v>
      </c>
      <c r="D43" s="79">
        <v>452</v>
      </c>
      <c r="E43" s="20"/>
      <c r="F43" s="79">
        <v>417</v>
      </c>
      <c r="G43" s="20">
        <v>395</v>
      </c>
      <c r="H43" s="20"/>
      <c r="I43" s="79">
        <v>427</v>
      </c>
      <c r="J43" s="20"/>
      <c r="K43" s="20"/>
      <c r="L43" s="20">
        <v>408</v>
      </c>
      <c r="M43" s="20">
        <f t="shared" si="2"/>
        <v>2554</v>
      </c>
      <c r="N43" s="20">
        <v>6</v>
      </c>
      <c r="O43" s="20">
        <v>2</v>
      </c>
      <c r="P43" s="20">
        <f>M43-2439</f>
        <v>115</v>
      </c>
      <c r="Q43" s="20">
        <v>2</v>
      </c>
    </row>
    <row r="44" spans="1:17" s="64" customFormat="1" ht="15.75">
      <c r="A44" s="63" t="s">
        <v>242</v>
      </c>
      <c r="B44" s="63" t="s">
        <v>23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>
        <f t="shared" si="2"/>
        <v>0</v>
      </c>
      <c r="N44" s="63"/>
      <c r="O44" s="63"/>
      <c r="P44" s="63"/>
      <c r="Q44" s="63"/>
    </row>
    <row r="45" spans="1:17" s="25" customFormat="1" ht="15.75">
      <c r="A45" s="20" t="s">
        <v>243</v>
      </c>
      <c r="B45" s="20" t="s">
        <v>21</v>
      </c>
      <c r="C45" s="79">
        <v>449</v>
      </c>
      <c r="D45" s="79">
        <v>448</v>
      </c>
      <c r="E45" s="20"/>
      <c r="F45" s="79">
        <v>421</v>
      </c>
      <c r="G45" s="79">
        <v>435</v>
      </c>
      <c r="H45" s="20"/>
      <c r="I45" s="20">
        <v>377</v>
      </c>
      <c r="J45" s="20"/>
      <c r="K45" s="20"/>
      <c r="L45" s="20">
        <v>409</v>
      </c>
      <c r="M45" s="20">
        <f t="shared" si="2"/>
        <v>2539</v>
      </c>
      <c r="N45" s="20">
        <v>6</v>
      </c>
      <c r="O45" s="20">
        <v>2</v>
      </c>
      <c r="P45" s="20">
        <v>89</v>
      </c>
      <c r="Q45" s="20">
        <v>2</v>
      </c>
    </row>
    <row r="46" spans="1:17" s="34" customFormat="1" ht="15.75">
      <c r="A46" s="29" t="s">
        <v>244</v>
      </c>
      <c r="B46" s="29" t="s">
        <v>25</v>
      </c>
      <c r="C46" s="29">
        <v>395</v>
      </c>
      <c r="D46" s="87">
        <v>439</v>
      </c>
      <c r="E46" s="29"/>
      <c r="F46" s="29">
        <v>365</v>
      </c>
      <c r="G46" s="87">
        <v>420</v>
      </c>
      <c r="H46" s="29"/>
      <c r="I46" s="29">
        <v>362</v>
      </c>
      <c r="J46" s="29"/>
      <c r="K46" s="29"/>
      <c r="L46" s="29">
        <v>413</v>
      </c>
      <c r="M46" s="29">
        <f t="shared" si="2"/>
        <v>2394</v>
      </c>
      <c r="N46" s="29">
        <v>2</v>
      </c>
      <c r="O46" s="29">
        <v>6</v>
      </c>
      <c r="P46" s="29">
        <f>M46-2546</f>
        <v>-152</v>
      </c>
      <c r="Q46" s="29">
        <v>0</v>
      </c>
    </row>
    <row r="47" spans="1:17" s="25" customFormat="1" ht="16.5" thickBot="1">
      <c r="A47" s="20" t="s">
        <v>245</v>
      </c>
      <c r="B47" s="20" t="s">
        <v>17</v>
      </c>
      <c r="C47" s="79">
        <v>464</v>
      </c>
      <c r="D47" s="79">
        <v>450</v>
      </c>
      <c r="E47" s="20"/>
      <c r="F47" s="20">
        <v>427</v>
      </c>
      <c r="G47" s="79">
        <v>445</v>
      </c>
      <c r="H47" s="20">
        <v>422</v>
      </c>
      <c r="I47" s="20">
        <v>381</v>
      </c>
      <c r="J47" s="20"/>
      <c r="K47" s="20"/>
      <c r="L47" s="20"/>
      <c r="M47" s="20">
        <f>SUM(C47:L47)</f>
        <v>2589</v>
      </c>
      <c r="N47" s="28">
        <v>5</v>
      </c>
      <c r="O47" s="28">
        <v>3</v>
      </c>
      <c r="P47" s="28">
        <v>1</v>
      </c>
      <c r="Q47" s="28">
        <v>2</v>
      </c>
    </row>
    <row r="48" spans="3:17" ht="16.5" thickTop="1">
      <c r="C48" s="169">
        <f>SUM(C31:C47)</f>
        <v>7066</v>
      </c>
      <c r="D48" s="169">
        <f aca="true" t="shared" si="3" ref="D48:L48">SUM(D31:D47)</f>
        <v>6698</v>
      </c>
      <c r="E48" s="169"/>
      <c r="F48" s="169">
        <f t="shared" si="3"/>
        <v>6425</v>
      </c>
      <c r="G48" s="169">
        <f t="shared" si="3"/>
        <v>6727</v>
      </c>
      <c r="H48" s="169">
        <f t="shared" si="3"/>
        <v>2042</v>
      </c>
      <c r="I48" s="169">
        <f t="shared" si="3"/>
        <v>4898</v>
      </c>
      <c r="J48" s="169">
        <f t="shared" si="3"/>
        <v>377</v>
      </c>
      <c r="K48" s="169"/>
      <c r="L48" s="169">
        <f t="shared" si="3"/>
        <v>5905</v>
      </c>
      <c r="N48" s="1">
        <f>SUM(N31:N47)</f>
        <v>71</v>
      </c>
      <c r="O48" s="1">
        <f>SUM(O31:O47)</f>
        <v>57</v>
      </c>
      <c r="P48" s="1">
        <f>SUM(P31:P47)</f>
        <v>297</v>
      </c>
      <c r="Q48" s="1">
        <f>SUM(Q31:Q47)</f>
        <v>20</v>
      </c>
    </row>
    <row r="50" spans="2:19" ht="31.5">
      <c r="B50" s="12" t="s">
        <v>152</v>
      </c>
      <c r="C50" s="17">
        <f>AVERAGE(C31:C47)</f>
        <v>441.625</v>
      </c>
      <c r="D50" s="17">
        <f aca="true" t="shared" si="4" ref="D50:L50">AVERAGE(D31:D47)</f>
        <v>446.53333333333336</v>
      </c>
      <c r="E50" s="17"/>
      <c r="F50" s="17">
        <f t="shared" si="4"/>
        <v>401.5625</v>
      </c>
      <c r="G50" s="17">
        <f t="shared" si="4"/>
        <v>420.4375</v>
      </c>
      <c r="H50" s="17">
        <f t="shared" si="4"/>
        <v>408.4</v>
      </c>
      <c r="I50" s="17">
        <f t="shared" si="4"/>
        <v>408.1666666666667</v>
      </c>
      <c r="J50" s="17">
        <f t="shared" si="4"/>
        <v>377</v>
      </c>
      <c r="K50" s="17"/>
      <c r="L50" s="17">
        <f t="shared" si="4"/>
        <v>393.6666666666667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40138</v>
      </c>
      <c r="N51" s="6">
        <f>SUM(N31:N47)</f>
        <v>71</v>
      </c>
      <c r="O51" s="6">
        <f>SUM(O31:O47)</f>
        <v>57</v>
      </c>
      <c r="P51" s="6">
        <f>SUM(P31:P47)</f>
        <v>297</v>
      </c>
      <c r="Q51" s="6">
        <f>SUM(Q31:Q47)</f>
        <v>20</v>
      </c>
      <c r="S51" s="2">
        <f>N51-O51</f>
        <v>14</v>
      </c>
    </row>
    <row r="53" spans="13:14" ht="15.75">
      <c r="M53" s="1" t="s">
        <v>153</v>
      </c>
      <c r="N53" s="19">
        <f>M51/16</f>
        <v>2508.625</v>
      </c>
    </row>
  </sheetData>
  <mergeCells count="11">
    <mergeCell ref="C24:D24"/>
    <mergeCell ref="C25:D25"/>
    <mergeCell ref="C1:L1"/>
    <mergeCell ref="N1:O1"/>
    <mergeCell ref="C23:D23"/>
    <mergeCell ref="N21:O21"/>
    <mergeCell ref="N50:O50"/>
    <mergeCell ref="E27:F27"/>
    <mergeCell ref="I26:J26"/>
    <mergeCell ref="L26:M26"/>
    <mergeCell ref="L27:M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zoomScale="90" zoomScaleNormal="90" workbookViewId="0" topLeftCell="A19">
      <selection activeCell="R51" sqref="R5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1.875" style="1" customWidth="1"/>
    <col min="11" max="11" width="9.00390625" style="1" customWidth="1"/>
    <col min="12" max="12" width="11.75390625" style="1" customWidth="1"/>
    <col min="13" max="13" width="9.125" style="1" customWidth="1"/>
    <col min="14" max="14" width="15.87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5.75390625" style="0" bestFit="1" customWidth="1"/>
  </cols>
  <sheetData>
    <row r="1" spans="3:21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O1" s="185" t="s">
        <v>33</v>
      </c>
      <c r="P1" s="185"/>
      <c r="S1" s="2"/>
      <c r="T1" s="2"/>
      <c r="U1" s="2"/>
    </row>
    <row r="2" spans="2:21" ht="36.75" customHeight="1" thickBot="1">
      <c r="B2" s="3" t="s">
        <v>29</v>
      </c>
      <c r="C2" s="9" t="s">
        <v>179</v>
      </c>
      <c r="D2" s="111" t="s">
        <v>238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155</v>
      </c>
      <c r="J2" s="9" t="s">
        <v>138</v>
      </c>
      <c r="K2" s="9" t="s">
        <v>139</v>
      </c>
      <c r="L2" s="9" t="s">
        <v>140</v>
      </c>
      <c r="M2" s="9" t="s">
        <v>144</v>
      </c>
      <c r="N2" s="5" t="s">
        <v>35</v>
      </c>
      <c r="O2" s="3" t="s">
        <v>15</v>
      </c>
      <c r="P2" s="3" t="s">
        <v>34</v>
      </c>
      <c r="Q2" s="3" t="s">
        <v>36</v>
      </c>
      <c r="R2" s="11" t="s">
        <v>134</v>
      </c>
      <c r="S2" s="2"/>
      <c r="T2" s="2"/>
      <c r="U2" s="2"/>
    </row>
    <row r="3" spans="1:18" s="34" customFormat="1" ht="15.75">
      <c r="A3" s="29" t="s">
        <v>0</v>
      </c>
      <c r="B3" s="29" t="s">
        <v>18</v>
      </c>
      <c r="C3" s="48"/>
      <c r="D3" s="48"/>
      <c r="E3" s="74">
        <v>407</v>
      </c>
      <c r="F3" s="74">
        <v>449</v>
      </c>
      <c r="G3" s="48">
        <v>399</v>
      </c>
      <c r="H3" s="48">
        <v>200</v>
      </c>
      <c r="I3" s="74">
        <v>435</v>
      </c>
      <c r="J3" s="48"/>
      <c r="K3" s="48">
        <v>205</v>
      </c>
      <c r="L3" s="48"/>
      <c r="M3" s="74">
        <v>449</v>
      </c>
      <c r="N3" s="45">
        <f>SUM(C3:M3)</f>
        <v>2544</v>
      </c>
      <c r="O3" s="29">
        <v>6</v>
      </c>
      <c r="P3" s="29">
        <v>2</v>
      </c>
      <c r="Q3" s="32">
        <f>N3-2331</f>
        <v>213</v>
      </c>
      <c r="R3" s="29">
        <v>2</v>
      </c>
    </row>
    <row r="4" spans="1:18" s="25" customFormat="1" ht="15.75">
      <c r="A4" s="20" t="s">
        <v>1</v>
      </c>
      <c r="B4" s="21" t="s">
        <v>26</v>
      </c>
      <c r="C4" s="49"/>
      <c r="D4" s="49"/>
      <c r="E4" s="49">
        <v>395</v>
      </c>
      <c r="F4" s="77">
        <v>456</v>
      </c>
      <c r="G4" s="47"/>
      <c r="H4" s="77">
        <v>435</v>
      </c>
      <c r="I4" s="49">
        <v>406</v>
      </c>
      <c r="J4" s="49"/>
      <c r="K4" s="49">
        <v>412</v>
      </c>
      <c r="L4" s="49"/>
      <c r="M4" s="39">
        <v>421</v>
      </c>
      <c r="N4" s="40">
        <f aca="true" t="shared" si="0" ref="N4:N19">SUM(C4:M4)</f>
        <v>2525</v>
      </c>
      <c r="O4" s="20">
        <v>2</v>
      </c>
      <c r="P4" s="20">
        <v>6</v>
      </c>
      <c r="Q4" s="20">
        <v>-45</v>
      </c>
      <c r="R4" s="20">
        <v>0</v>
      </c>
    </row>
    <row r="5" spans="1:18" s="34" customFormat="1" ht="15.75">
      <c r="A5" s="29" t="s">
        <v>2</v>
      </c>
      <c r="B5" s="29" t="s">
        <v>20</v>
      </c>
      <c r="C5" s="48"/>
      <c r="D5" s="48"/>
      <c r="E5" s="74">
        <v>418</v>
      </c>
      <c r="F5" s="74">
        <v>437</v>
      </c>
      <c r="G5" s="48"/>
      <c r="H5" s="48">
        <v>418</v>
      </c>
      <c r="I5" s="48">
        <v>412</v>
      </c>
      <c r="J5" s="48"/>
      <c r="K5" s="48">
        <v>388</v>
      </c>
      <c r="L5" s="48"/>
      <c r="M5" s="48">
        <v>415</v>
      </c>
      <c r="N5" s="45">
        <f t="shared" si="0"/>
        <v>2488</v>
      </c>
      <c r="O5" s="29">
        <v>2</v>
      </c>
      <c r="P5" s="29">
        <v>6</v>
      </c>
      <c r="Q5" s="32">
        <f>N5-2536</f>
        <v>-48</v>
      </c>
      <c r="R5" s="29">
        <v>0</v>
      </c>
    </row>
    <row r="6" spans="1:18" s="25" customFormat="1" ht="15.75">
      <c r="A6" s="20" t="s">
        <v>3</v>
      </c>
      <c r="B6" s="20" t="s">
        <v>22</v>
      </c>
      <c r="C6" s="47"/>
      <c r="D6" s="47"/>
      <c r="E6" s="73">
        <v>437</v>
      </c>
      <c r="F6" s="73">
        <v>468</v>
      </c>
      <c r="G6" s="73">
        <v>421</v>
      </c>
      <c r="H6" s="73">
        <v>430</v>
      </c>
      <c r="I6" s="47">
        <v>201</v>
      </c>
      <c r="J6" s="47"/>
      <c r="K6" s="47">
        <v>382</v>
      </c>
      <c r="L6" s="47">
        <v>187</v>
      </c>
      <c r="M6" s="47"/>
      <c r="N6" s="40">
        <f t="shared" si="0"/>
        <v>2526</v>
      </c>
      <c r="O6" s="20">
        <v>6</v>
      </c>
      <c r="P6" s="20">
        <v>2</v>
      </c>
      <c r="Q6" s="23">
        <f>N6-2417</f>
        <v>109</v>
      </c>
      <c r="R6" s="20">
        <v>2</v>
      </c>
    </row>
    <row r="7" spans="1:18" s="34" customFormat="1" ht="15.75">
      <c r="A7" s="29" t="s">
        <v>4</v>
      </c>
      <c r="B7" s="29" t="s">
        <v>30</v>
      </c>
      <c r="C7" s="48"/>
      <c r="D7" s="48"/>
      <c r="E7" s="48">
        <v>416</v>
      </c>
      <c r="F7" s="74">
        <v>460</v>
      </c>
      <c r="G7" s="48">
        <v>389</v>
      </c>
      <c r="H7" s="74">
        <v>452</v>
      </c>
      <c r="I7" s="74">
        <v>437</v>
      </c>
      <c r="J7" s="48"/>
      <c r="K7" s="48"/>
      <c r="L7" s="48"/>
      <c r="M7" s="74">
        <v>448</v>
      </c>
      <c r="N7" s="45">
        <f t="shared" si="0"/>
        <v>2602</v>
      </c>
      <c r="O7" s="29">
        <v>4</v>
      </c>
      <c r="P7" s="29">
        <v>4</v>
      </c>
      <c r="Q7" s="32">
        <v>-12</v>
      </c>
      <c r="R7" s="29">
        <v>1</v>
      </c>
    </row>
    <row r="8" spans="1:18" s="25" customFormat="1" ht="15.75">
      <c r="A8" s="20" t="s">
        <v>5</v>
      </c>
      <c r="B8" s="20" t="s">
        <v>19</v>
      </c>
      <c r="C8" s="47"/>
      <c r="D8" s="47"/>
      <c r="E8" s="73">
        <v>414</v>
      </c>
      <c r="F8" s="47"/>
      <c r="G8" s="73">
        <v>424</v>
      </c>
      <c r="H8" s="73">
        <v>445</v>
      </c>
      <c r="I8" s="47"/>
      <c r="J8" s="47"/>
      <c r="K8" s="47">
        <v>412</v>
      </c>
      <c r="L8" s="47">
        <v>384</v>
      </c>
      <c r="M8" s="73">
        <v>427</v>
      </c>
      <c r="N8" s="40">
        <f t="shared" si="0"/>
        <v>2506</v>
      </c>
      <c r="O8" s="20">
        <v>6</v>
      </c>
      <c r="P8" s="20">
        <v>2</v>
      </c>
      <c r="Q8" s="20">
        <v>96</v>
      </c>
      <c r="R8" s="20">
        <v>2</v>
      </c>
    </row>
    <row r="9" spans="1:18" s="34" customFormat="1" ht="15.75">
      <c r="A9" s="29" t="s">
        <v>6</v>
      </c>
      <c r="B9" s="29" t="s">
        <v>24</v>
      </c>
      <c r="C9" s="48">
        <v>379</v>
      </c>
      <c r="D9" s="48"/>
      <c r="E9" s="48"/>
      <c r="F9" s="48"/>
      <c r="G9" s="74">
        <v>420</v>
      </c>
      <c r="H9" s="74">
        <v>481</v>
      </c>
      <c r="I9" s="74">
        <v>433</v>
      </c>
      <c r="J9" s="48"/>
      <c r="K9" s="48"/>
      <c r="L9" s="74">
        <v>427</v>
      </c>
      <c r="M9" s="74">
        <v>430</v>
      </c>
      <c r="N9" s="45">
        <f t="shared" si="0"/>
        <v>2570</v>
      </c>
      <c r="O9" s="29">
        <v>7</v>
      </c>
      <c r="P9" s="29">
        <v>1</v>
      </c>
      <c r="Q9" s="29">
        <v>314</v>
      </c>
      <c r="R9" s="29">
        <v>2</v>
      </c>
    </row>
    <row r="10" spans="1:18" s="25" customFormat="1" ht="15.75">
      <c r="A10" s="20" t="s">
        <v>7</v>
      </c>
      <c r="B10" s="20" t="s">
        <v>199</v>
      </c>
      <c r="C10" s="47"/>
      <c r="D10" s="47"/>
      <c r="E10" s="73">
        <v>412</v>
      </c>
      <c r="F10" s="73">
        <v>454</v>
      </c>
      <c r="G10" s="73">
        <v>406</v>
      </c>
      <c r="H10" s="73">
        <v>422</v>
      </c>
      <c r="I10" s="47"/>
      <c r="J10" s="47"/>
      <c r="K10" s="47"/>
      <c r="L10" s="47">
        <v>380</v>
      </c>
      <c r="M10" s="73">
        <v>421</v>
      </c>
      <c r="N10" s="40">
        <f t="shared" si="0"/>
        <v>2495</v>
      </c>
      <c r="O10" s="20">
        <v>7</v>
      </c>
      <c r="P10" s="20">
        <v>1</v>
      </c>
      <c r="Q10" s="23">
        <v>316</v>
      </c>
      <c r="R10" s="20">
        <v>2</v>
      </c>
    </row>
    <row r="11" spans="1:18" s="64" customFormat="1" ht="15.75">
      <c r="A11" s="63" t="s">
        <v>8</v>
      </c>
      <c r="B11" s="63" t="s">
        <v>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18">
        <f t="shared" si="0"/>
        <v>0</v>
      </c>
      <c r="O11" s="63"/>
      <c r="P11" s="63"/>
      <c r="Q11" s="71"/>
      <c r="R11" s="63"/>
    </row>
    <row r="12" spans="1:18" s="25" customFormat="1" ht="15.75">
      <c r="A12" s="20" t="s">
        <v>9</v>
      </c>
      <c r="B12" s="20" t="s">
        <v>21</v>
      </c>
      <c r="C12" s="47"/>
      <c r="D12" s="47"/>
      <c r="E12" s="47">
        <v>380</v>
      </c>
      <c r="F12" s="47">
        <v>388</v>
      </c>
      <c r="G12" s="73">
        <v>428</v>
      </c>
      <c r="H12" s="73">
        <v>416</v>
      </c>
      <c r="I12" s="73">
        <v>435</v>
      </c>
      <c r="J12" s="47"/>
      <c r="K12" s="47"/>
      <c r="L12" s="47"/>
      <c r="M12" s="73">
        <v>435</v>
      </c>
      <c r="N12" s="40">
        <f t="shared" si="0"/>
        <v>2482</v>
      </c>
      <c r="O12" s="20">
        <v>4</v>
      </c>
      <c r="P12" s="20">
        <v>4</v>
      </c>
      <c r="Q12" s="20">
        <v>-19</v>
      </c>
      <c r="R12" s="20">
        <v>1</v>
      </c>
    </row>
    <row r="13" spans="1:18" s="34" customFormat="1" ht="15.75">
      <c r="A13" s="29" t="s">
        <v>10</v>
      </c>
      <c r="B13" s="29" t="s">
        <v>25</v>
      </c>
      <c r="D13" s="48"/>
      <c r="E13" s="74">
        <v>463</v>
      </c>
      <c r="F13" s="48">
        <v>404</v>
      </c>
      <c r="G13" s="74">
        <v>448</v>
      </c>
      <c r="H13" s="48">
        <v>443</v>
      </c>
      <c r="I13" s="74">
        <v>451</v>
      </c>
      <c r="J13" s="48"/>
      <c r="K13" s="48"/>
      <c r="L13" s="48"/>
      <c r="M13" s="48">
        <v>440</v>
      </c>
      <c r="N13" s="45">
        <f t="shared" si="0"/>
        <v>2649</v>
      </c>
      <c r="O13" s="29">
        <v>3</v>
      </c>
      <c r="P13" s="29">
        <v>5</v>
      </c>
      <c r="Q13" s="29">
        <v>-20</v>
      </c>
      <c r="R13" s="29">
        <v>0</v>
      </c>
    </row>
    <row r="14" spans="1:18" s="25" customFormat="1" ht="15.75">
      <c r="A14" s="20" t="s">
        <v>11</v>
      </c>
      <c r="B14" s="20" t="s">
        <v>17</v>
      </c>
      <c r="D14" s="73">
        <v>458</v>
      </c>
      <c r="E14" s="47">
        <v>406</v>
      </c>
      <c r="F14" s="47"/>
      <c r="G14" s="73">
        <v>422</v>
      </c>
      <c r="H14" s="73">
        <v>451</v>
      </c>
      <c r="I14" s="47">
        <v>420</v>
      </c>
      <c r="J14" s="47"/>
      <c r="K14" s="47"/>
      <c r="L14" s="47"/>
      <c r="M14" s="47">
        <v>403</v>
      </c>
      <c r="N14" s="40">
        <f>SUM(C14:M14)</f>
        <v>2560</v>
      </c>
      <c r="O14" s="20">
        <v>5</v>
      </c>
      <c r="P14" s="20">
        <v>3</v>
      </c>
      <c r="Q14" s="23">
        <v>65</v>
      </c>
      <c r="R14" s="20">
        <v>2</v>
      </c>
    </row>
    <row r="15" spans="1:18" s="34" customFormat="1" ht="15.75">
      <c r="A15" s="29" t="s">
        <v>12</v>
      </c>
      <c r="B15" s="29" t="s">
        <v>16</v>
      </c>
      <c r="C15" s="48"/>
      <c r="D15" s="48"/>
      <c r="E15" s="48">
        <v>410</v>
      </c>
      <c r="F15" s="48"/>
      <c r="G15" s="48">
        <v>428</v>
      </c>
      <c r="H15" s="74">
        <v>458</v>
      </c>
      <c r="I15" s="74">
        <v>449</v>
      </c>
      <c r="J15" s="48"/>
      <c r="K15" s="48"/>
      <c r="L15" s="48">
        <v>382</v>
      </c>
      <c r="M15" s="74">
        <v>488</v>
      </c>
      <c r="N15" s="45">
        <f t="shared" si="0"/>
        <v>2615</v>
      </c>
      <c r="O15" s="29">
        <v>3</v>
      </c>
      <c r="P15" s="29">
        <v>5</v>
      </c>
      <c r="Q15" s="29">
        <v>-13</v>
      </c>
      <c r="R15" s="29">
        <v>0</v>
      </c>
    </row>
    <row r="16" spans="1:18" s="34" customFormat="1" ht="15.75">
      <c r="A16" s="29" t="s">
        <v>13</v>
      </c>
      <c r="B16" s="29" t="s">
        <v>27</v>
      </c>
      <c r="C16" s="48"/>
      <c r="D16" s="74">
        <v>428</v>
      </c>
      <c r="E16" s="48"/>
      <c r="F16" s="74">
        <v>443</v>
      </c>
      <c r="G16" s="48">
        <v>423</v>
      </c>
      <c r="H16" s="48">
        <v>415</v>
      </c>
      <c r="I16" s="48">
        <v>417</v>
      </c>
      <c r="J16" s="48"/>
      <c r="K16" s="48"/>
      <c r="L16" s="48"/>
      <c r="M16" s="74">
        <v>458</v>
      </c>
      <c r="N16" s="45">
        <f t="shared" si="0"/>
        <v>2584</v>
      </c>
      <c r="O16" s="29">
        <v>5</v>
      </c>
      <c r="P16" s="29">
        <v>3</v>
      </c>
      <c r="Q16" s="29">
        <v>12</v>
      </c>
      <c r="R16" s="29">
        <v>2</v>
      </c>
    </row>
    <row r="17" spans="1:18" s="25" customFormat="1" ht="15.75">
      <c r="A17" s="20" t="s">
        <v>14</v>
      </c>
      <c r="B17" s="20" t="s">
        <v>32</v>
      </c>
      <c r="C17" s="47"/>
      <c r="D17" s="47">
        <v>398</v>
      </c>
      <c r="E17" s="47">
        <v>410</v>
      </c>
      <c r="F17" s="47">
        <v>418</v>
      </c>
      <c r="G17" s="73">
        <v>465</v>
      </c>
      <c r="H17" s="73">
        <v>421</v>
      </c>
      <c r="I17" s="73">
        <v>423</v>
      </c>
      <c r="J17" s="47"/>
      <c r="K17" s="47"/>
      <c r="L17" s="47"/>
      <c r="M17" s="47"/>
      <c r="N17" s="40">
        <f t="shared" si="0"/>
        <v>2535</v>
      </c>
      <c r="O17" s="20">
        <v>3</v>
      </c>
      <c r="P17" s="20">
        <v>5</v>
      </c>
      <c r="Q17" s="20">
        <v>-5</v>
      </c>
      <c r="R17" s="20">
        <v>0</v>
      </c>
    </row>
    <row r="18" spans="1:18" s="34" customFormat="1" ht="15.75">
      <c r="A18" s="29" t="s">
        <v>234</v>
      </c>
      <c r="B18" s="29" t="s">
        <v>28</v>
      </c>
      <c r="C18" s="48"/>
      <c r="D18" s="48"/>
      <c r="E18" s="48">
        <v>398</v>
      </c>
      <c r="F18" s="48">
        <v>410</v>
      </c>
      <c r="G18" s="48">
        <v>416</v>
      </c>
      <c r="H18" s="74">
        <v>475</v>
      </c>
      <c r="I18" s="74">
        <v>429</v>
      </c>
      <c r="J18" s="48"/>
      <c r="K18" s="48"/>
      <c r="L18" s="48"/>
      <c r="M18" s="74">
        <v>484</v>
      </c>
      <c r="N18" s="45">
        <f t="shared" si="0"/>
        <v>2612</v>
      </c>
      <c r="O18" s="29">
        <v>5</v>
      </c>
      <c r="P18" s="29">
        <v>3</v>
      </c>
      <c r="Q18" s="29">
        <v>152</v>
      </c>
      <c r="R18" s="29">
        <v>2</v>
      </c>
    </row>
    <row r="19" spans="1:18" s="25" customFormat="1" ht="16.5" thickBot="1">
      <c r="A19" s="20" t="s">
        <v>235</v>
      </c>
      <c r="B19" s="20" t="s">
        <v>198</v>
      </c>
      <c r="C19" s="53"/>
      <c r="D19" s="134">
        <v>438</v>
      </c>
      <c r="E19" s="53"/>
      <c r="F19" s="53"/>
      <c r="G19" s="134">
        <v>421</v>
      </c>
      <c r="H19" s="134">
        <v>471</v>
      </c>
      <c r="I19" s="134">
        <v>439</v>
      </c>
      <c r="J19" s="53"/>
      <c r="K19" s="53"/>
      <c r="L19" s="53">
        <v>409</v>
      </c>
      <c r="M19" s="134">
        <v>463</v>
      </c>
      <c r="N19" s="55">
        <f t="shared" si="0"/>
        <v>2641</v>
      </c>
      <c r="O19" s="28">
        <v>7</v>
      </c>
      <c r="P19" s="28">
        <v>1</v>
      </c>
      <c r="Q19" s="27">
        <f>2641-2436</f>
        <v>205</v>
      </c>
      <c r="R19" s="28">
        <v>2</v>
      </c>
    </row>
    <row r="20" spans="3:13" ht="16.5" thickTop="1">
      <c r="C20" s="6">
        <f>SUM(C3:C19)</f>
        <v>379</v>
      </c>
      <c r="D20" s="6"/>
      <c r="E20" s="6">
        <f aca="true" t="shared" si="1" ref="E20:M20">SUM(E3:E19)</f>
        <v>5366</v>
      </c>
      <c r="F20" s="6">
        <f t="shared" si="1"/>
        <v>4787</v>
      </c>
      <c r="G20" s="6">
        <f>SUM(G3:G19)</f>
        <v>5910</v>
      </c>
      <c r="H20" s="6">
        <f t="shared" si="1"/>
        <v>6833</v>
      </c>
      <c r="I20" s="6">
        <f t="shared" si="1"/>
        <v>5787</v>
      </c>
      <c r="J20" s="6">
        <f t="shared" si="1"/>
        <v>0</v>
      </c>
      <c r="K20" s="6">
        <f t="shared" si="1"/>
        <v>1799</v>
      </c>
      <c r="L20" s="6">
        <f t="shared" si="1"/>
        <v>2169</v>
      </c>
      <c r="M20" s="6">
        <f t="shared" si="1"/>
        <v>6182</v>
      </c>
    </row>
    <row r="21" spans="2:20" ht="33.75" customHeight="1">
      <c r="B21" s="12" t="s">
        <v>152</v>
      </c>
      <c r="C21" s="17">
        <f>AVERAGE(C3:C19)</f>
        <v>379</v>
      </c>
      <c r="D21" s="17">
        <f aca="true" t="shared" si="2" ref="D21:M21">AVERAGE(D3:D19)</f>
        <v>430.5</v>
      </c>
      <c r="E21" s="17">
        <f t="shared" si="2"/>
        <v>412.7692307692308</v>
      </c>
      <c r="F21" s="17">
        <f t="shared" si="2"/>
        <v>435.1818181818182</v>
      </c>
      <c r="G21" s="17">
        <f t="shared" si="2"/>
        <v>422.14285714285717</v>
      </c>
      <c r="H21" s="17">
        <f>H20/15.5</f>
        <v>440.83870967741933</v>
      </c>
      <c r="I21" s="17">
        <f>I20/13.5</f>
        <v>428.6666666666667</v>
      </c>
      <c r="J21" s="17"/>
      <c r="K21" s="17">
        <f>K20/4.5</f>
        <v>399.77777777777777</v>
      </c>
      <c r="L21" s="17">
        <f>L20/5.5</f>
        <v>394.3636363636364</v>
      </c>
      <c r="M21" s="17">
        <f t="shared" si="2"/>
        <v>441.57142857142856</v>
      </c>
      <c r="N21" s="3" t="s">
        <v>35</v>
      </c>
      <c r="O21" s="185" t="s">
        <v>135</v>
      </c>
      <c r="P21" s="185"/>
      <c r="Q21" s="3" t="s">
        <v>36</v>
      </c>
      <c r="R21" s="11" t="s">
        <v>136</v>
      </c>
      <c r="T21" s="14" t="s">
        <v>150</v>
      </c>
    </row>
    <row r="22" spans="14:20" ht="15.75">
      <c r="N22" s="6">
        <f>SUM(N3:N19)</f>
        <v>40934</v>
      </c>
      <c r="O22" s="1">
        <f>SUM(O3:O19)</f>
        <v>75</v>
      </c>
      <c r="P22" s="1">
        <f>SUM(P3:P19)</f>
        <v>53</v>
      </c>
      <c r="Q22" s="1">
        <f>SUM(Q3:Q19)</f>
        <v>1320</v>
      </c>
      <c r="R22" s="1">
        <f>SUM(R3:R19)</f>
        <v>20</v>
      </c>
      <c r="T22" s="2">
        <f>O22-P22</f>
        <v>22</v>
      </c>
    </row>
    <row r="24" spans="3:15" ht="15.75">
      <c r="C24" s="190" t="s">
        <v>48</v>
      </c>
      <c r="D24" s="190"/>
      <c r="E24" s="190"/>
      <c r="N24" s="1" t="s">
        <v>153</v>
      </c>
      <c r="O24" s="19">
        <f>SUM(N3:N19)/16</f>
        <v>2558.375</v>
      </c>
    </row>
    <row r="25" spans="3:5" ht="15.75">
      <c r="C25" s="188" t="s">
        <v>157</v>
      </c>
      <c r="D25" s="188"/>
      <c r="E25" s="188"/>
    </row>
    <row r="26" spans="3:14" ht="15.75">
      <c r="C26" s="189" t="s">
        <v>158</v>
      </c>
      <c r="D26" s="189"/>
      <c r="E26" s="189"/>
      <c r="J26" s="184" t="s">
        <v>183</v>
      </c>
      <c r="K26" s="184"/>
      <c r="L26" s="12" t="s">
        <v>184</v>
      </c>
      <c r="M26" s="184" t="s">
        <v>150</v>
      </c>
      <c r="N26" s="184"/>
    </row>
    <row r="27" spans="10:14" ht="15.75">
      <c r="J27" s="1">
        <f>O22+O48</f>
        <v>159</v>
      </c>
      <c r="K27" s="1">
        <f>P22+P48</f>
        <v>97</v>
      </c>
      <c r="L27" s="1">
        <f>R22+R48</f>
        <v>46</v>
      </c>
      <c r="M27" s="187">
        <f>J27-K27</f>
        <v>62</v>
      </c>
      <c r="N27" s="187"/>
    </row>
    <row r="28" spans="1:7" ht="15.75">
      <c r="A28" s="128" t="s">
        <v>169</v>
      </c>
      <c r="B28" s="129"/>
      <c r="C28" s="129" t="s">
        <v>166</v>
      </c>
      <c r="D28" s="129"/>
      <c r="E28" s="129" t="s">
        <v>170</v>
      </c>
      <c r="F28" s="186" t="s">
        <v>168</v>
      </c>
      <c r="G28" s="186"/>
    </row>
    <row r="29" spans="1:7" ht="15.75">
      <c r="A29" s="59"/>
      <c r="B29" s="57"/>
      <c r="C29" s="57"/>
      <c r="D29" s="57"/>
      <c r="E29" s="57"/>
      <c r="F29" s="58"/>
      <c r="G29" s="57"/>
    </row>
    <row r="30" spans="2:21" ht="36.75" customHeight="1" thickBot="1">
      <c r="B30" s="3" t="s">
        <v>29</v>
      </c>
      <c r="C30" s="9" t="s">
        <v>179</v>
      </c>
      <c r="D30" s="111" t="s">
        <v>238</v>
      </c>
      <c r="E30" s="9" t="s">
        <v>55</v>
      </c>
      <c r="F30" s="9" t="s">
        <v>56</v>
      </c>
      <c r="G30" s="9" t="s">
        <v>57</v>
      </c>
      <c r="H30" s="9" t="s">
        <v>58</v>
      </c>
      <c r="I30" s="9" t="s">
        <v>155</v>
      </c>
      <c r="J30" s="9" t="s">
        <v>138</v>
      </c>
      <c r="K30" s="9" t="s">
        <v>139</v>
      </c>
      <c r="L30" s="9" t="s">
        <v>140</v>
      </c>
      <c r="M30" s="9" t="s">
        <v>144</v>
      </c>
      <c r="N30" s="5" t="s">
        <v>35</v>
      </c>
      <c r="O30" s="3" t="s">
        <v>15</v>
      </c>
      <c r="P30" s="3" t="s">
        <v>34</v>
      </c>
      <c r="Q30" s="3" t="s">
        <v>36</v>
      </c>
      <c r="R30" s="11" t="s">
        <v>134</v>
      </c>
      <c r="S30" s="2"/>
      <c r="T30" s="2"/>
      <c r="U30" s="2"/>
    </row>
    <row r="31" spans="1:18" s="25" customFormat="1" ht="15.75">
      <c r="A31" s="20" t="s">
        <v>185</v>
      </c>
      <c r="B31" s="20" t="s">
        <v>18</v>
      </c>
      <c r="C31" s="37"/>
      <c r="D31" s="37">
        <v>420</v>
      </c>
      <c r="E31" s="79">
        <v>441</v>
      </c>
      <c r="F31" s="37"/>
      <c r="G31" s="37">
        <v>398</v>
      </c>
      <c r="H31" s="79">
        <v>459</v>
      </c>
      <c r="I31" s="79">
        <v>432</v>
      </c>
      <c r="J31" s="37"/>
      <c r="K31" s="37"/>
      <c r="L31" s="37"/>
      <c r="M31" s="79">
        <v>453</v>
      </c>
      <c r="N31" s="20">
        <f>SUM(C31:M31)</f>
        <v>2603</v>
      </c>
      <c r="O31" s="20">
        <v>6</v>
      </c>
      <c r="P31" s="20">
        <v>2</v>
      </c>
      <c r="Q31" s="20">
        <v>116</v>
      </c>
      <c r="R31" s="20">
        <v>2</v>
      </c>
    </row>
    <row r="32" spans="1:18" s="34" customFormat="1" ht="15.75">
      <c r="A32" s="29" t="s">
        <v>186</v>
      </c>
      <c r="B32" s="30" t="s">
        <v>26</v>
      </c>
      <c r="C32" s="35"/>
      <c r="D32" s="35">
        <v>421</v>
      </c>
      <c r="E32" s="87">
        <v>445</v>
      </c>
      <c r="F32" s="35">
        <v>184</v>
      </c>
      <c r="G32" s="35"/>
      <c r="H32" s="79">
        <v>444</v>
      </c>
      <c r="I32" s="35">
        <v>435</v>
      </c>
      <c r="J32" s="35"/>
      <c r="K32" s="35"/>
      <c r="L32" s="35">
        <v>222</v>
      </c>
      <c r="M32" s="35">
        <v>418</v>
      </c>
      <c r="N32" s="29">
        <f>SUM(C32:M32)</f>
        <v>2569</v>
      </c>
      <c r="O32" s="29">
        <v>2</v>
      </c>
      <c r="P32" s="29">
        <v>6</v>
      </c>
      <c r="Q32" s="29">
        <v>-47</v>
      </c>
      <c r="R32" s="29">
        <v>0</v>
      </c>
    </row>
    <row r="33" spans="1:18" s="25" customFormat="1" ht="15.75">
      <c r="A33" s="20" t="s">
        <v>187</v>
      </c>
      <c r="B33" s="20" t="s">
        <v>20</v>
      </c>
      <c r="C33" s="37"/>
      <c r="D33" s="37">
        <v>420</v>
      </c>
      <c r="E33" s="37">
        <v>431</v>
      </c>
      <c r="F33" s="70"/>
      <c r="G33" s="37"/>
      <c r="H33" s="79">
        <v>484</v>
      </c>
      <c r="I33" s="37">
        <v>438</v>
      </c>
      <c r="J33" s="37"/>
      <c r="K33" s="37"/>
      <c r="L33" s="79">
        <v>442</v>
      </c>
      <c r="M33" s="79">
        <v>440</v>
      </c>
      <c r="N33" s="20">
        <f>SUM(C33:M33)</f>
        <v>2655</v>
      </c>
      <c r="O33" s="20">
        <v>5</v>
      </c>
      <c r="P33" s="20">
        <v>3</v>
      </c>
      <c r="Q33" s="20">
        <v>113</v>
      </c>
      <c r="R33" s="20">
        <v>2</v>
      </c>
    </row>
    <row r="34" spans="1:18" s="34" customFormat="1" ht="15.75">
      <c r="A34" s="29" t="s">
        <v>188</v>
      </c>
      <c r="B34" s="29" t="s">
        <v>22</v>
      </c>
      <c r="C34" s="35"/>
      <c r="D34" s="35">
        <v>418</v>
      </c>
      <c r="E34" s="35">
        <v>401</v>
      </c>
      <c r="F34" s="35">
        <v>407</v>
      </c>
      <c r="G34" s="35"/>
      <c r="H34" s="87">
        <v>460</v>
      </c>
      <c r="I34" s="87">
        <v>422</v>
      </c>
      <c r="J34" s="35"/>
      <c r="K34" s="35"/>
      <c r="L34" s="87">
        <v>426</v>
      </c>
      <c r="M34" s="35"/>
      <c r="N34" s="29">
        <f>SUM(C34:M34)</f>
        <v>2534</v>
      </c>
      <c r="O34" s="29">
        <v>5</v>
      </c>
      <c r="P34" s="29">
        <v>3</v>
      </c>
      <c r="Q34" s="29">
        <f>N34-2490</f>
        <v>44</v>
      </c>
      <c r="R34" s="29">
        <v>2</v>
      </c>
    </row>
    <row r="35" spans="1:18" s="25" customFormat="1" ht="15.75">
      <c r="A35" s="20" t="s">
        <v>189</v>
      </c>
      <c r="B35" s="20" t="s">
        <v>30</v>
      </c>
      <c r="C35" s="37"/>
      <c r="D35" s="37">
        <v>411</v>
      </c>
      <c r="E35" s="37">
        <v>209</v>
      </c>
      <c r="F35" s="37"/>
      <c r="G35" s="37">
        <v>417</v>
      </c>
      <c r="H35" s="79">
        <v>455</v>
      </c>
      <c r="I35" s="37">
        <v>440</v>
      </c>
      <c r="J35" s="37"/>
      <c r="K35" s="37"/>
      <c r="L35" s="37">
        <v>168</v>
      </c>
      <c r="M35" s="79">
        <v>485</v>
      </c>
      <c r="N35" s="20">
        <f>SUM(C35:M35)</f>
        <v>2585</v>
      </c>
      <c r="O35" s="20">
        <v>2</v>
      </c>
      <c r="P35" s="20">
        <v>6</v>
      </c>
      <c r="Q35" s="20">
        <v>-48</v>
      </c>
      <c r="R35" s="20">
        <v>0</v>
      </c>
    </row>
    <row r="36" spans="1:18" s="34" customFormat="1" ht="15.75">
      <c r="A36" s="29" t="s">
        <v>190</v>
      </c>
      <c r="B36" s="29" t="s">
        <v>19</v>
      </c>
      <c r="C36" s="35"/>
      <c r="D36" s="35">
        <v>413</v>
      </c>
      <c r="E36" s="87">
        <v>436</v>
      </c>
      <c r="F36" s="35"/>
      <c r="G36" s="35">
        <v>412</v>
      </c>
      <c r="H36" s="87">
        <v>451</v>
      </c>
      <c r="I36" s="35">
        <v>381</v>
      </c>
      <c r="J36" s="35"/>
      <c r="K36" s="35"/>
      <c r="L36" s="35"/>
      <c r="M36" s="87">
        <v>431</v>
      </c>
      <c r="N36" s="29">
        <f aca="true" t="shared" si="3" ref="N36:N46">SUM(C36:M36)</f>
        <v>2524</v>
      </c>
      <c r="O36" s="29">
        <v>5</v>
      </c>
      <c r="P36" s="29">
        <v>3</v>
      </c>
      <c r="Q36" s="29">
        <f>N36-2487</f>
        <v>37</v>
      </c>
      <c r="R36" s="29">
        <v>2</v>
      </c>
    </row>
    <row r="37" spans="1:18" s="25" customFormat="1" ht="15.75">
      <c r="A37" s="20" t="s">
        <v>191</v>
      </c>
      <c r="B37" s="20" t="s">
        <v>24</v>
      </c>
      <c r="C37" s="37"/>
      <c r="D37" s="37">
        <v>409</v>
      </c>
      <c r="E37" s="37">
        <v>408</v>
      </c>
      <c r="F37" s="37">
        <v>401</v>
      </c>
      <c r="G37" s="79">
        <v>425</v>
      </c>
      <c r="H37" s="37"/>
      <c r="I37" s="37"/>
      <c r="J37" s="37"/>
      <c r="K37" s="37"/>
      <c r="L37" s="79">
        <v>419</v>
      </c>
      <c r="M37" s="79">
        <v>441</v>
      </c>
      <c r="N37" s="20">
        <f t="shared" si="3"/>
        <v>2503</v>
      </c>
      <c r="O37" s="20">
        <v>5</v>
      </c>
      <c r="P37" s="20">
        <v>3</v>
      </c>
      <c r="Q37" s="20">
        <f>N37-2383</f>
        <v>120</v>
      </c>
      <c r="R37" s="20">
        <v>2</v>
      </c>
    </row>
    <row r="38" spans="1:18" s="34" customFormat="1" ht="15.75">
      <c r="A38" s="29" t="s">
        <v>192</v>
      </c>
      <c r="B38" s="29" t="s">
        <v>199</v>
      </c>
      <c r="C38" s="35"/>
      <c r="D38" s="35"/>
      <c r="E38" s="87">
        <v>434</v>
      </c>
      <c r="F38" s="87">
        <v>423</v>
      </c>
      <c r="G38" s="87">
        <v>433</v>
      </c>
      <c r="H38" s="87">
        <v>406</v>
      </c>
      <c r="I38" s="87">
        <v>431</v>
      </c>
      <c r="J38" s="35"/>
      <c r="K38" s="35"/>
      <c r="L38" s="35">
        <v>371</v>
      </c>
      <c r="M38" s="35"/>
      <c r="N38" s="29">
        <f t="shared" si="3"/>
        <v>2498</v>
      </c>
      <c r="O38" s="29">
        <v>7</v>
      </c>
      <c r="P38" s="29">
        <v>1</v>
      </c>
      <c r="Q38" s="29">
        <v>211</v>
      </c>
      <c r="R38" s="29">
        <v>2</v>
      </c>
    </row>
    <row r="39" spans="1:18" s="64" customFormat="1" ht="15.75">
      <c r="A39" s="63" t="s">
        <v>193</v>
      </c>
      <c r="B39" s="63" t="s">
        <v>23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3">
        <f t="shared" si="3"/>
        <v>0</v>
      </c>
      <c r="O39" s="63"/>
      <c r="P39" s="63"/>
      <c r="Q39" s="63"/>
      <c r="R39" s="63"/>
    </row>
    <row r="40" spans="1:18" s="34" customFormat="1" ht="15.75">
      <c r="A40" s="29" t="s">
        <v>194</v>
      </c>
      <c r="B40" s="29" t="s">
        <v>21</v>
      </c>
      <c r="C40" s="35"/>
      <c r="D40" s="87">
        <v>410</v>
      </c>
      <c r="E40" s="87">
        <v>409</v>
      </c>
      <c r="F40" s="35">
        <v>376</v>
      </c>
      <c r="G40" s="87">
        <v>428</v>
      </c>
      <c r="H40" s="87">
        <v>450</v>
      </c>
      <c r="I40" s="35">
        <v>402</v>
      </c>
      <c r="J40" s="35"/>
      <c r="K40" s="35"/>
      <c r="L40" s="35"/>
      <c r="M40" s="35"/>
      <c r="N40" s="29">
        <f t="shared" si="3"/>
        <v>2475</v>
      </c>
      <c r="O40" s="29">
        <v>6</v>
      </c>
      <c r="P40" s="29">
        <v>2</v>
      </c>
      <c r="Q40" s="29">
        <f>N40-2302</f>
        <v>173</v>
      </c>
      <c r="R40" s="29">
        <v>2</v>
      </c>
    </row>
    <row r="41" spans="1:18" s="25" customFormat="1" ht="15.75">
      <c r="A41" s="20" t="s">
        <v>195</v>
      </c>
      <c r="B41" s="20" t="s">
        <v>25</v>
      </c>
      <c r="C41" s="20"/>
      <c r="D41" s="20">
        <v>409</v>
      </c>
      <c r="E41" s="20">
        <v>398</v>
      </c>
      <c r="F41" s="20"/>
      <c r="G41" s="79">
        <v>421</v>
      </c>
      <c r="H41" s="79">
        <v>450</v>
      </c>
      <c r="I41" s="20">
        <v>419</v>
      </c>
      <c r="J41" s="20"/>
      <c r="K41" s="20"/>
      <c r="L41" s="20"/>
      <c r="M41" s="79">
        <v>442</v>
      </c>
      <c r="N41" s="20">
        <f t="shared" si="3"/>
        <v>2539</v>
      </c>
      <c r="O41" s="20">
        <v>3</v>
      </c>
      <c r="P41" s="20">
        <v>5</v>
      </c>
      <c r="Q41" s="20">
        <v>-26</v>
      </c>
      <c r="R41" s="20">
        <v>0</v>
      </c>
    </row>
    <row r="42" spans="1:18" s="34" customFormat="1" ht="15.75">
      <c r="A42" s="29" t="s">
        <v>196</v>
      </c>
      <c r="B42" s="29" t="s">
        <v>17</v>
      </c>
      <c r="C42" s="29"/>
      <c r="D42" s="87">
        <v>441</v>
      </c>
      <c r="E42" s="29"/>
      <c r="F42" s="29">
        <v>406</v>
      </c>
      <c r="G42" s="87">
        <v>421</v>
      </c>
      <c r="H42" s="87">
        <v>456</v>
      </c>
      <c r="I42" s="87">
        <v>415</v>
      </c>
      <c r="J42" s="29"/>
      <c r="K42" s="29"/>
      <c r="L42" s="29">
        <v>396</v>
      </c>
      <c r="M42" s="29"/>
      <c r="N42" s="29">
        <f t="shared" si="3"/>
        <v>2535</v>
      </c>
      <c r="O42" s="29">
        <v>6</v>
      </c>
      <c r="P42" s="29">
        <v>2</v>
      </c>
      <c r="Q42" s="29">
        <f>N42-2442</f>
        <v>93</v>
      </c>
      <c r="R42" s="29">
        <v>2</v>
      </c>
    </row>
    <row r="43" spans="1:18" s="25" customFormat="1" ht="15.75">
      <c r="A43" s="20" t="s">
        <v>197</v>
      </c>
      <c r="B43" s="20" t="s">
        <v>16</v>
      </c>
      <c r="C43" s="20"/>
      <c r="D43" s="20"/>
      <c r="E43" s="79">
        <v>441</v>
      </c>
      <c r="F43" s="79">
        <v>442</v>
      </c>
      <c r="G43" s="20">
        <v>426</v>
      </c>
      <c r="H43" s="20">
        <v>409</v>
      </c>
      <c r="I43" s="79">
        <v>449</v>
      </c>
      <c r="J43" s="20"/>
      <c r="K43" s="20"/>
      <c r="L43" s="20"/>
      <c r="M43" s="79">
        <v>441</v>
      </c>
      <c r="N43" s="20">
        <f t="shared" si="3"/>
        <v>2608</v>
      </c>
      <c r="O43" s="20">
        <v>6</v>
      </c>
      <c r="P43" s="20">
        <v>2</v>
      </c>
      <c r="Q43" s="20">
        <v>24</v>
      </c>
      <c r="R43" s="20">
        <v>2</v>
      </c>
    </row>
    <row r="44" spans="1:18" s="25" customFormat="1" ht="15.75">
      <c r="A44" s="20" t="s">
        <v>242</v>
      </c>
      <c r="B44" s="20" t="s">
        <v>27</v>
      </c>
      <c r="C44" s="20"/>
      <c r="D44" s="79">
        <v>444</v>
      </c>
      <c r="E44" s="79">
        <v>457</v>
      </c>
      <c r="F44" s="20"/>
      <c r="G44" s="20">
        <v>423</v>
      </c>
      <c r="H44" s="20">
        <v>434</v>
      </c>
      <c r="I44" s="79">
        <v>438</v>
      </c>
      <c r="J44" s="20"/>
      <c r="K44" s="20"/>
      <c r="L44" s="20"/>
      <c r="M44" s="79">
        <v>466</v>
      </c>
      <c r="N44" s="20">
        <f t="shared" si="3"/>
        <v>2662</v>
      </c>
      <c r="O44" s="20">
        <v>6</v>
      </c>
      <c r="P44" s="20">
        <v>2</v>
      </c>
      <c r="Q44" s="20">
        <v>107</v>
      </c>
      <c r="R44" s="20">
        <v>2</v>
      </c>
    </row>
    <row r="45" spans="1:18" s="34" customFormat="1" ht="15.75">
      <c r="A45" s="29" t="s">
        <v>243</v>
      </c>
      <c r="B45" s="29" t="s">
        <v>32</v>
      </c>
      <c r="C45" s="29"/>
      <c r="D45" s="29"/>
      <c r="E45" s="87">
        <v>444</v>
      </c>
      <c r="F45" s="29">
        <v>399</v>
      </c>
      <c r="G45" s="29">
        <v>412</v>
      </c>
      <c r="H45" s="87">
        <v>485</v>
      </c>
      <c r="I45" s="87">
        <v>438</v>
      </c>
      <c r="J45" s="29"/>
      <c r="K45" s="29"/>
      <c r="L45" s="29"/>
      <c r="M45" s="87">
        <v>460</v>
      </c>
      <c r="N45" s="29">
        <f t="shared" si="3"/>
        <v>2638</v>
      </c>
      <c r="O45" s="29">
        <v>6</v>
      </c>
      <c r="P45" s="29">
        <v>2</v>
      </c>
      <c r="Q45" s="29">
        <v>141</v>
      </c>
      <c r="R45" s="29">
        <v>2</v>
      </c>
    </row>
    <row r="46" spans="1:18" s="25" customFormat="1" ht="15.75">
      <c r="A46" s="20" t="s">
        <v>244</v>
      </c>
      <c r="B46" s="20" t="s">
        <v>28</v>
      </c>
      <c r="C46" s="20"/>
      <c r="D46" s="79">
        <v>411</v>
      </c>
      <c r="E46" s="79">
        <v>458</v>
      </c>
      <c r="F46" s="79">
        <v>435</v>
      </c>
      <c r="G46" s="20">
        <v>395</v>
      </c>
      <c r="H46" s="20"/>
      <c r="I46" s="79">
        <v>438</v>
      </c>
      <c r="J46" s="20"/>
      <c r="K46" s="20"/>
      <c r="L46" s="20"/>
      <c r="M46" s="79">
        <v>482</v>
      </c>
      <c r="N46" s="20">
        <f t="shared" si="3"/>
        <v>2619</v>
      </c>
      <c r="O46" s="20">
        <v>7</v>
      </c>
      <c r="P46" s="20">
        <v>1</v>
      </c>
      <c r="Q46" s="20">
        <v>241</v>
      </c>
      <c r="R46" s="20">
        <v>2</v>
      </c>
    </row>
    <row r="47" spans="1:18" s="34" customFormat="1" ht="16.5" thickBot="1">
      <c r="A47" s="29" t="s">
        <v>245</v>
      </c>
      <c r="B47" s="29" t="s">
        <v>198</v>
      </c>
      <c r="C47" s="29"/>
      <c r="D47" s="87">
        <v>447</v>
      </c>
      <c r="E47" s="29"/>
      <c r="F47" s="29"/>
      <c r="G47" s="29">
        <v>424</v>
      </c>
      <c r="H47" s="87">
        <v>501</v>
      </c>
      <c r="I47" s="87">
        <v>448</v>
      </c>
      <c r="J47" s="29"/>
      <c r="K47" s="29"/>
      <c r="L47" s="87">
        <v>461</v>
      </c>
      <c r="M47" s="87">
        <v>446</v>
      </c>
      <c r="N47" s="29">
        <f>SUM(C47:M47)</f>
        <v>2727</v>
      </c>
      <c r="O47" s="43">
        <v>7</v>
      </c>
      <c r="P47" s="43">
        <v>1</v>
      </c>
      <c r="Q47" s="43">
        <v>323</v>
      </c>
      <c r="R47" s="43">
        <v>2</v>
      </c>
    </row>
    <row r="48" spans="4:18" ht="16.5" thickTop="1">
      <c r="D48" s="169">
        <f>SUM(D31:D47)</f>
        <v>5474</v>
      </c>
      <c r="E48" s="169">
        <f aca="true" t="shared" si="4" ref="E48:M48">SUM(E31:E47)</f>
        <v>5812</v>
      </c>
      <c r="F48" s="169">
        <f t="shared" si="4"/>
        <v>3473</v>
      </c>
      <c r="G48" s="169">
        <f t="shared" si="4"/>
        <v>5435</v>
      </c>
      <c r="H48" s="169">
        <f t="shared" si="4"/>
        <v>6344</v>
      </c>
      <c r="I48" s="169">
        <f t="shared" si="4"/>
        <v>6426</v>
      </c>
      <c r="J48" s="169"/>
      <c r="K48" s="169"/>
      <c r="L48" s="169">
        <f t="shared" si="4"/>
        <v>2905</v>
      </c>
      <c r="M48" s="169">
        <f t="shared" si="4"/>
        <v>5405</v>
      </c>
      <c r="O48" s="1">
        <f>SUM(O31:O47)</f>
        <v>84</v>
      </c>
      <c r="P48" s="1">
        <f>SUM(P31:P47)</f>
        <v>44</v>
      </c>
      <c r="Q48" s="1">
        <f>SUM(Q31:Q47)</f>
        <v>1622</v>
      </c>
      <c r="R48" s="1">
        <f>SUM(R31:R47)</f>
        <v>26</v>
      </c>
    </row>
    <row r="50" spans="2:20" ht="31.5">
      <c r="B50" s="12" t="s">
        <v>152</v>
      </c>
      <c r="D50" s="17">
        <f>AVERAGE(D31:D47)</f>
        <v>421.0769230769231</v>
      </c>
      <c r="E50" s="17">
        <f>E48/13.5</f>
        <v>430.51851851851853</v>
      </c>
      <c r="F50" s="17">
        <f>F48/8.5</f>
        <v>408.5882352941176</v>
      </c>
      <c r="G50" s="17">
        <f aca="true" t="shared" si="5" ref="G50:M50">AVERAGE(G31:G47)</f>
        <v>418.0769230769231</v>
      </c>
      <c r="H50" s="17">
        <f t="shared" si="5"/>
        <v>453.14285714285717</v>
      </c>
      <c r="I50" s="17">
        <f t="shared" si="5"/>
        <v>428.4</v>
      </c>
      <c r="J50" s="17"/>
      <c r="K50" s="17"/>
      <c r="L50" s="17">
        <f>L48/7</f>
        <v>415</v>
      </c>
      <c r="M50" s="17">
        <f t="shared" si="5"/>
        <v>450.4166666666667</v>
      </c>
      <c r="N50" s="3" t="s">
        <v>35</v>
      </c>
      <c r="O50" s="185" t="s">
        <v>135</v>
      </c>
      <c r="P50" s="185"/>
      <c r="Q50" s="3" t="s">
        <v>36</v>
      </c>
      <c r="R50" s="11" t="s">
        <v>136</v>
      </c>
      <c r="T50" s="14" t="s">
        <v>150</v>
      </c>
    </row>
    <row r="51" spans="14:20" ht="15.75">
      <c r="N51" s="6">
        <f>SUM(N31:N47)</f>
        <v>41274</v>
      </c>
      <c r="O51" s="6">
        <f>SUM(O31:O47)</f>
        <v>84</v>
      </c>
      <c r="P51" s="6">
        <f>SUM(P31:P47)</f>
        <v>44</v>
      </c>
      <c r="Q51" s="6">
        <f>SUM(Q31:Q47)</f>
        <v>1622</v>
      </c>
      <c r="R51" s="6">
        <f>SUM(R31:R47)</f>
        <v>26</v>
      </c>
      <c r="T51" s="2">
        <f>O51-P51</f>
        <v>40</v>
      </c>
    </row>
    <row r="53" spans="14:15" ht="15.75">
      <c r="N53" s="1" t="s">
        <v>153</v>
      </c>
      <c r="O53" s="19">
        <f>SUM(N31:N47)/16</f>
        <v>2579.625</v>
      </c>
    </row>
  </sheetData>
  <mergeCells count="11">
    <mergeCell ref="C1:M1"/>
    <mergeCell ref="O1:P1"/>
    <mergeCell ref="C24:E24"/>
    <mergeCell ref="O21:P21"/>
    <mergeCell ref="O50:P50"/>
    <mergeCell ref="F28:G28"/>
    <mergeCell ref="M27:N27"/>
    <mergeCell ref="C25:E25"/>
    <mergeCell ref="C26:E26"/>
    <mergeCell ref="J26:K26"/>
    <mergeCell ref="M26:N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"/>
  <sheetViews>
    <sheetView zoomScale="90" zoomScaleNormal="90" workbookViewId="0" topLeftCell="A21">
      <selection activeCell="R46" sqref="R46"/>
    </sheetView>
  </sheetViews>
  <sheetFormatPr defaultColWidth="9.00390625" defaultRowHeight="12.75"/>
  <cols>
    <col min="1" max="1" width="11.25390625" style="4" bestFit="1" customWidth="1"/>
    <col min="2" max="2" width="10.375" style="4" bestFit="1" customWidth="1"/>
    <col min="3" max="3" width="11.625" style="4" customWidth="1"/>
    <col min="4" max="4" width="11.125" style="4" customWidth="1"/>
    <col min="5" max="5" width="10.625" style="4" customWidth="1"/>
    <col min="6" max="6" width="16.00390625" style="4" bestFit="1" customWidth="1"/>
    <col min="7" max="8" width="9.25390625" style="4" bestFit="1" customWidth="1"/>
    <col min="9" max="9" width="11.375" style="4" customWidth="1"/>
    <col min="10" max="10" width="16.00390625" style="4" bestFit="1" customWidth="1"/>
    <col min="11" max="11" width="9.25390625" style="4" bestFit="1" customWidth="1"/>
    <col min="12" max="12" width="11.125" style="4" customWidth="1"/>
    <col min="13" max="13" width="12.00390625" style="4" customWidth="1"/>
    <col min="14" max="14" width="18.25390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5.75390625" style="0" bestFit="1" customWidth="1"/>
  </cols>
  <sheetData>
    <row r="1" spans="3:21" ht="15.75">
      <c r="C1" s="192" t="s">
        <v>31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O1" s="185" t="s">
        <v>33</v>
      </c>
      <c r="P1" s="185"/>
      <c r="S1" s="2"/>
      <c r="T1" s="2"/>
      <c r="U1" s="2"/>
    </row>
    <row r="2" spans="2:18" ht="48" customHeight="1" thickBot="1">
      <c r="B2" s="5" t="s">
        <v>29</v>
      </c>
      <c r="C2" s="9" t="s">
        <v>84</v>
      </c>
      <c r="D2" s="9" t="s">
        <v>160</v>
      </c>
      <c r="E2" s="9"/>
      <c r="F2" s="9" t="s">
        <v>159</v>
      </c>
      <c r="G2" s="9"/>
      <c r="H2" s="9" t="s">
        <v>237</v>
      </c>
      <c r="I2" s="9" t="s">
        <v>85</v>
      </c>
      <c r="J2" s="9" t="s">
        <v>131</v>
      </c>
      <c r="K2" s="9" t="s">
        <v>165</v>
      </c>
      <c r="L2" s="9" t="s">
        <v>141</v>
      </c>
      <c r="M2" s="9" t="s">
        <v>146</v>
      </c>
      <c r="N2" s="3" t="s">
        <v>35</v>
      </c>
      <c r="O2" s="3" t="s">
        <v>28</v>
      </c>
      <c r="P2" s="3" t="s">
        <v>34</v>
      </c>
      <c r="Q2" s="3" t="s">
        <v>36</v>
      </c>
      <c r="R2" s="11" t="s">
        <v>134</v>
      </c>
    </row>
    <row r="3" spans="1:18" s="25" customFormat="1" ht="15.75">
      <c r="A3" s="38" t="s">
        <v>0</v>
      </c>
      <c r="B3" s="38" t="s">
        <v>32</v>
      </c>
      <c r="C3" s="77">
        <v>456</v>
      </c>
      <c r="D3" s="47"/>
      <c r="E3" s="47"/>
      <c r="F3" s="49"/>
      <c r="G3" s="49"/>
      <c r="H3" s="49"/>
      <c r="I3" s="77">
        <v>445</v>
      </c>
      <c r="J3" s="49">
        <v>414</v>
      </c>
      <c r="K3" s="49">
        <v>400</v>
      </c>
      <c r="L3" s="49">
        <v>415</v>
      </c>
      <c r="M3" s="77">
        <v>464</v>
      </c>
      <c r="N3" s="40">
        <f aca="true" t="shared" si="0" ref="N3:N19">SUM(C3:M3)</f>
        <v>2594</v>
      </c>
      <c r="O3" s="20">
        <v>5</v>
      </c>
      <c r="P3" s="20">
        <v>3</v>
      </c>
      <c r="Q3" s="20">
        <v>103</v>
      </c>
      <c r="R3" s="20">
        <v>2</v>
      </c>
    </row>
    <row r="4" spans="1:18" s="34" customFormat="1" ht="15.75">
      <c r="A4" s="36" t="s">
        <v>1</v>
      </c>
      <c r="B4" s="36" t="s">
        <v>16</v>
      </c>
      <c r="C4" s="52">
        <v>380</v>
      </c>
      <c r="D4" s="74">
        <v>464</v>
      </c>
      <c r="E4" s="74"/>
      <c r="F4" s="52"/>
      <c r="G4" s="52"/>
      <c r="H4" s="52"/>
      <c r="I4" s="105">
        <v>449</v>
      </c>
      <c r="J4" s="52"/>
      <c r="K4" s="52">
        <v>392</v>
      </c>
      <c r="L4" s="52">
        <v>395</v>
      </c>
      <c r="M4" s="105">
        <v>436</v>
      </c>
      <c r="N4" s="45">
        <f t="shared" si="0"/>
        <v>2516</v>
      </c>
      <c r="O4" s="29">
        <v>5</v>
      </c>
      <c r="P4" s="29">
        <v>3</v>
      </c>
      <c r="Q4" s="29">
        <f>2516-2393</f>
        <v>123</v>
      </c>
      <c r="R4" s="29">
        <v>2</v>
      </c>
    </row>
    <row r="5" spans="1:18" s="34" customFormat="1" ht="15.75">
      <c r="A5" s="36" t="s">
        <v>2</v>
      </c>
      <c r="B5" s="36" t="s">
        <v>198</v>
      </c>
      <c r="C5" s="105">
        <v>408</v>
      </c>
      <c r="D5" s="48"/>
      <c r="E5" s="48"/>
      <c r="F5" s="52">
        <v>395</v>
      </c>
      <c r="G5" s="52"/>
      <c r="H5" s="52"/>
      <c r="I5" s="105">
        <v>454</v>
      </c>
      <c r="J5" s="52"/>
      <c r="K5" s="52">
        <v>391</v>
      </c>
      <c r="L5" s="105">
        <v>420</v>
      </c>
      <c r="M5" s="105">
        <v>417</v>
      </c>
      <c r="N5" s="45">
        <f t="shared" si="0"/>
        <v>2485</v>
      </c>
      <c r="O5" s="29">
        <v>6</v>
      </c>
      <c r="P5" s="29">
        <v>2</v>
      </c>
      <c r="Q5" s="32">
        <f>N5-2315</f>
        <v>170</v>
      </c>
      <c r="R5" s="29">
        <v>2</v>
      </c>
    </row>
    <row r="6" spans="1:18" s="25" customFormat="1" ht="15.75">
      <c r="A6" s="38" t="s">
        <v>3</v>
      </c>
      <c r="B6" s="38" t="s">
        <v>18</v>
      </c>
      <c r="C6" s="77">
        <v>444</v>
      </c>
      <c r="D6" s="47"/>
      <c r="E6" s="47"/>
      <c r="F6" s="49"/>
      <c r="G6" s="49"/>
      <c r="H6" s="49"/>
      <c r="I6" s="77">
        <v>424</v>
      </c>
      <c r="J6" s="49">
        <v>419</v>
      </c>
      <c r="K6" s="49">
        <v>392</v>
      </c>
      <c r="L6" s="49">
        <v>415</v>
      </c>
      <c r="M6" s="49">
        <v>407</v>
      </c>
      <c r="N6" s="40">
        <f t="shared" si="0"/>
        <v>2501</v>
      </c>
      <c r="O6" s="20">
        <v>2</v>
      </c>
      <c r="P6" s="20">
        <v>6</v>
      </c>
      <c r="Q6" s="23">
        <v>-3</v>
      </c>
      <c r="R6" s="20">
        <v>0</v>
      </c>
    </row>
    <row r="7" spans="1:18" s="34" customFormat="1" ht="15.75">
      <c r="A7" s="36" t="s">
        <v>4</v>
      </c>
      <c r="B7" s="36" t="s">
        <v>26</v>
      </c>
      <c r="C7" s="105">
        <v>427</v>
      </c>
      <c r="D7" s="48"/>
      <c r="E7" s="48"/>
      <c r="F7" s="52">
        <v>375</v>
      </c>
      <c r="G7" s="52"/>
      <c r="H7" s="52"/>
      <c r="I7" s="52">
        <v>410</v>
      </c>
      <c r="J7" s="52">
        <v>408</v>
      </c>
      <c r="K7" s="52"/>
      <c r="L7" s="52">
        <v>423</v>
      </c>
      <c r="M7" s="105">
        <v>435</v>
      </c>
      <c r="N7" s="45">
        <f t="shared" si="0"/>
        <v>2478</v>
      </c>
      <c r="O7" s="29">
        <v>2</v>
      </c>
      <c r="P7" s="29">
        <v>6</v>
      </c>
      <c r="Q7" s="32">
        <v>-176</v>
      </c>
      <c r="R7" s="29">
        <v>0</v>
      </c>
    </row>
    <row r="8" spans="1:18" s="25" customFormat="1" ht="15.75">
      <c r="A8" s="38" t="s">
        <v>5</v>
      </c>
      <c r="B8" s="38" t="s">
        <v>20</v>
      </c>
      <c r="C8" s="21">
        <v>412</v>
      </c>
      <c r="D8" s="73">
        <v>474</v>
      </c>
      <c r="E8" s="73"/>
      <c r="F8" s="49"/>
      <c r="G8" s="49"/>
      <c r="H8" s="49"/>
      <c r="I8" s="49"/>
      <c r="J8" s="49">
        <v>396</v>
      </c>
      <c r="K8" s="49">
        <v>422</v>
      </c>
      <c r="L8" s="49">
        <v>406</v>
      </c>
      <c r="M8" s="77">
        <v>437</v>
      </c>
      <c r="N8" s="40">
        <f t="shared" si="0"/>
        <v>2547</v>
      </c>
      <c r="O8" s="20">
        <v>2</v>
      </c>
      <c r="P8" s="20">
        <v>6</v>
      </c>
      <c r="Q8" s="20">
        <v>-30</v>
      </c>
      <c r="R8" s="20">
        <v>0</v>
      </c>
    </row>
    <row r="9" spans="1:18" s="34" customFormat="1" ht="15.75">
      <c r="A9" s="36" t="s">
        <v>6</v>
      </c>
      <c r="B9" s="36" t="s">
        <v>22</v>
      </c>
      <c r="C9" s="105">
        <v>419</v>
      </c>
      <c r="D9" s="48"/>
      <c r="E9" s="48"/>
      <c r="F9" s="52"/>
      <c r="G9" s="52"/>
      <c r="H9" s="52">
        <v>330</v>
      </c>
      <c r="I9" s="52"/>
      <c r="J9" s="52"/>
      <c r="K9" s="52">
        <v>361</v>
      </c>
      <c r="L9" s="105">
        <v>405</v>
      </c>
      <c r="M9" s="105">
        <v>413</v>
      </c>
      <c r="N9" s="45">
        <f t="shared" si="0"/>
        <v>1928</v>
      </c>
      <c r="O9" s="29">
        <v>3</v>
      </c>
      <c r="P9" s="29">
        <v>5</v>
      </c>
      <c r="Q9" s="32">
        <f>N9-2410</f>
        <v>-482</v>
      </c>
      <c r="R9" s="29">
        <v>0</v>
      </c>
    </row>
    <row r="10" spans="1:18" s="25" customFormat="1" ht="15.75">
      <c r="A10" s="38" t="s">
        <v>7</v>
      </c>
      <c r="B10" s="38" t="s">
        <v>30</v>
      </c>
      <c r="C10" s="49">
        <v>400</v>
      </c>
      <c r="D10" s="73">
        <v>464</v>
      </c>
      <c r="E10" s="73"/>
      <c r="F10" s="77">
        <v>444</v>
      </c>
      <c r="G10" s="77"/>
      <c r="H10" s="49"/>
      <c r="I10" s="49"/>
      <c r="J10" s="49"/>
      <c r="K10" s="49">
        <v>407</v>
      </c>
      <c r="L10" s="49">
        <v>417</v>
      </c>
      <c r="M10" s="49">
        <v>399</v>
      </c>
      <c r="N10" s="40">
        <f t="shared" si="0"/>
        <v>2531</v>
      </c>
      <c r="O10" s="20">
        <v>2</v>
      </c>
      <c r="P10" s="20">
        <v>6</v>
      </c>
      <c r="Q10" s="23">
        <v>-18</v>
      </c>
      <c r="R10" s="20">
        <v>0</v>
      </c>
    </row>
    <row r="11" spans="1:18" s="34" customFormat="1" ht="15.75">
      <c r="A11" s="36" t="s">
        <v>8</v>
      </c>
      <c r="B11" s="30" t="s">
        <v>19</v>
      </c>
      <c r="C11" s="105">
        <v>407</v>
      </c>
      <c r="D11" s="52"/>
      <c r="E11" s="52"/>
      <c r="F11" s="105">
        <v>405</v>
      </c>
      <c r="G11" s="105"/>
      <c r="H11" s="30">
        <v>327</v>
      </c>
      <c r="I11" s="52"/>
      <c r="J11" s="52"/>
      <c r="K11" s="105">
        <v>409</v>
      </c>
      <c r="L11" s="52">
        <v>399</v>
      </c>
      <c r="M11" s="105">
        <v>419</v>
      </c>
      <c r="N11" s="45">
        <f t="shared" si="0"/>
        <v>2366</v>
      </c>
      <c r="O11" s="29">
        <v>6</v>
      </c>
      <c r="P11" s="29">
        <v>2</v>
      </c>
      <c r="Q11" s="29">
        <v>12</v>
      </c>
      <c r="R11" s="29">
        <v>2</v>
      </c>
    </row>
    <row r="12" spans="1:18" s="25" customFormat="1" ht="15.75">
      <c r="A12" s="38" t="s">
        <v>9</v>
      </c>
      <c r="B12" s="38" t="s">
        <v>24</v>
      </c>
      <c r="C12" s="77">
        <v>416</v>
      </c>
      <c r="D12" s="73">
        <v>475</v>
      </c>
      <c r="E12" s="73"/>
      <c r="F12" s="77">
        <v>406</v>
      </c>
      <c r="G12" s="77"/>
      <c r="H12" s="49"/>
      <c r="I12" s="49"/>
      <c r="J12" s="70"/>
      <c r="K12" s="77">
        <v>399</v>
      </c>
      <c r="L12" s="77">
        <v>407</v>
      </c>
      <c r="M12" s="77">
        <v>461</v>
      </c>
      <c r="N12" s="40">
        <f t="shared" si="0"/>
        <v>2564</v>
      </c>
      <c r="O12" s="20">
        <v>8</v>
      </c>
      <c r="P12" s="20">
        <v>0</v>
      </c>
      <c r="Q12" s="23">
        <v>318</v>
      </c>
      <c r="R12" s="20">
        <v>2</v>
      </c>
    </row>
    <row r="13" spans="1:18" s="34" customFormat="1" ht="15.75">
      <c r="A13" s="36" t="s">
        <v>10</v>
      </c>
      <c r="B13" s="36" t="s">
        <v>199</v>
      </c>
      <c r="C13" s="105">
        <v>418</v>
      </c>
      <c r="D13" s="48"/>
      <c r="E13" s="48"/>
      <c r="F13" s="105">
        <v>412</v>
      </c>
      <c r="G13" s="105"/>
      <c r="H13" s="52">
        <v>327</v>
      </c>
      <c r="I13" s="52"/>
      <c r="J13" s="52"/>
      <c r="K13" s="105">
        <v>443</v>
      </c>
      <c r="L13" s="105">
        <v>402</v>
      </c>
      <c r="M13" s="105">
        <v>417</v>
      </c>
      <c r="N13" s="45">
        <f t="shared" si="0"/>
        <v>2419</v>
      </c>
      <c r="O13" s="29">
        <v>7</v>
      </c>
      <c r="P13" s="29">
        <v>1</v>
      </c>
      <c r="Q13" s="32">
        <v>85</v>
      </c>
      <c r="R13" s="29">
        <v>2</v>
      </c>
    </row>
    <row r="14" spans="1:18" s="64" customFormat="1" ht="15.75">
      <c r="A14" s="66" t="s">
        <v>11</v>
      </c>
      <c r="B14" s="66" t="s">
        <v>23</v>
      </c>
      <c r="C14" s="82"/>
      <c r="D14" s="81"/>
      <c r="E14" s="81"/>
      <c r="F14" s="82"/>
      <c r="G14" s="82"/>
      <c r="H14" s="82"/>
      <c r="I14" s="82"/>
      <c r="J14" s="82"/>
      <c r="K14" s="82"/>
      <c r="L14" s="82"/>
      <c r="M14" s="82"/>
      <c r="N14" s="118">
        <f t="shared" si="0"/>
        <v>0</v>
      </c>
      <c r="O14" s="63"/>
      <c r="P14" s="63"/>
      <c r="Q14" s="63"/>
      <c r="R14" s="63"/>
    </row>
    <row r="15" spans="1:18" s="34" customFormat="1" ht="15.75">
      <c r="A15" s="36" t="s">
        <v>12</v>
      </c>
      <c r="B15" s="36" t="s">
        <v>21</v>
      </c>
      <c r="C15" s="52">
        <v>397</v>
      </c>
      <c r="D15" s="48"/>
      <c r="E15" s="48"/>
      <c r="F15" s="52"/>
      <c r="G15" s="52"/>
      <c r="H15" s="52">
        <v>394</v>
      </c>
      <c r="I15" s="105">
        <v>445</v>
      </c>
      <c r="J15" s="52"/>
      <c r="K15" s="105">
        <v>439</v>
      </c>
      <c r="L15" s="52">
        <v>431</v>
      </c>
      <c r="M15" s="105">
        <v>439</v>
      </c>
      <c r="N15" s="45">
        <f t="shared" si="0"/>
        <v>2545</v>
      </c>
      <c r="O15" s="29">
        <v>5</v>
      </c>
      <c r="P15" s="29">
        <v>3</v>
      </c>
      <c r="Q15" s="29">
        <v>3</v>
      </c>
      <c r="R15" s="29">
        <v>2</v>
      </c>
    </row>
    <row r="16" spans="1:18" s="25" customFormat="1" ht="15.75">
      <c r="A16" s="38" t="s">
        <v>13</v>
      </c>
      <c r="B16" s="38" t="s">
        <v>25</v>
      </c>
      <c r="C16" s="77">
        <v>450</v>
      </c>
      <c r="D16" s="47"/>
      <c r="E16" s="47"/>
      <c r="F16" s="49"/>
      <c r="G16" s="49"/>
      <c r="H16" s="49">
        <v>358</v>
      </c>
      <c r="I16" s="77">
        <v>447</v>
      </c>
      <c r="J16" s="49"/>
      <c r="K16" s="49">
        <v>442</v>
      </c>
      <c r="L16" s="49">
        <v>389</v>
      </c>
      <c r="M16" s="49">
        <v>431</v>
      </c>
      <c r="N16" s="45">
        <f t="shared" si="0"/>
        <v>2517</v>
      </c>
      <c r="O16" s="20">
        <v>2</v>
      </c>
      <c r="P16" s="20">
        <v>6</v>
      </c>
      <c r="Q16" s="20">
        <v>-113</v>
      </c>
      <c r="R16" s="20">
        <v>0</v>
      </c>
    </row>
    <row r="17" spans="1:18" s="34" customFormat="1" ht="15.75">
      <c r="A17" s="36" t="s">
        <v>14</v>
      </c>
      <c r="B17" s="36" t="s">
        <v>17</v>
      </c>
      <c r="C17" s="52"/>
      <c r="D17" s="48"/>
      <c r="E17" s="48"/>
      <c r="F17" s="52"/>
      <c r="G17" s="52"/>
      <c r="H17" s="52">
        <v>395</v>
      </c>
      <c r="I17" s="105">
        <v>430</v>
      </c>
      <c r="J17" s="52"/>
      <c r="K17" s="105">
        <v>418</v>
      </c>
      <c r="L17" s="52">
        <v>401</v>
      </c>
      <c r="M17" s="105">
        <v>417</v>
      </c>
      <c r="N17" s="45">
        <f t="shared" si="0"/>
        <v>2061</v>
      </c>
      <c r="O17" s="29">
        <v>3</v>
      </c>
      <c r="P17" s="29">
        <v>5</v>
      </c>
      <c r="Q17" s="29">
        <v>-401</v>
      </c>
      <c r="R17" s="29">
        <v>0</v>
      </c>
    </row>
    <row r="18" spans="1:18" s="25" customFormat="1" ht="15.75">
      <c r="A18" s="38" t="s">
        <v>234</v>
      </c>
      <c r="B18" s="38" t="s">
        <v>15</v>
      </c>
      <c r="C18" s="49"/>
      <c r="D18" s="73">
        <v>493</v>
      </c>
      <c r="E18" s="73"/>
      <c r="F18" s="49"/>
      <c r="G18" s="49"/>
      <c r="H18" s="49">
        <v>333</v>
      </c>
      <c r="I18" s="49">
        <v>349</v>
      </c>
      <c r="J18" s="49"/>
      <c r="K18" s="49">
        <v>417</v>
      </c>
      <c r="L18" s="77">
        <v>417</v>
      </c>
      <c r="M18" s="77">
        <v>451</v>
      </c>
      <c r="N18" s="40">
        <f t="shared" si="0"/>
        <v>2460</v>
      </c>
      <c r="O18" s="20">
        <v>3</v>
      </c>
      <c r="P18" s="20">
        <v>5</v>
      </c>
      <c r="Q18" s="23">
        <f>N18-2612</f>
        <v>-152</v>
      </c>
      <c r="R18" s="20">
        <v>0</v>
      </c>
    </row>
    <row r="19" spans="1:18" s="34" customFormat="1" ht="16.5" thickBot="1">
      <c r="A19" s="36" t="s">
        <v>235</v>
      </c>
      <c r="B19" s="36" t="s">
        <v>27</v>
      </c>
      <c r="C19" s="50">
        <v>420</v>
      </c>
      <c r="D19" s="135">
        <v>473</v>
      </c>
      <c r="E19" s="135"/>
      <c r="F19" s="50"/>
      <c r="G19" s="50"/>
      <c r="H19" s="50"/>
      <c r="I19" s="135">
        <v>460</v>
      </c>
      <c r="J19" s="50"/>
      <c r="K19" s="50">
        <v>405</v>
      </c>
      <c r="L19" s="50">
        <v>423</v>
      </c>
      <c r="M19" s="135">
        <v>447</v>
      </c>
      <c r="N19" s="42">
        <f t="shared" si="0"/>
        <v>2628</v>
      </c>
      <c r="O19" s="43">
        <v>5</v>
      </c>
      <c r="P19" s="43">
        <v>3</v>
      </c>
      <c r="Q19" s="46">
        <v>15</v>
      </c>
      <c r="R19" s="43">
        <v>2</v>
      </c>
    </row>
    <row r="20" spans="3:13" ht="16.5" thickTop="1">
      <c r="C20" s="7">
        <f>SUM(C3:C19)</f>
        <v>5854</v>
      </c>
      <c r="D20" s="7">
        <f aca="true" t="shared" si="1" ref="D20:M20">SUM(D3:D19)</f>
        <v>2843</v>
      </c>
      <c r="E20" s="7"/>
      <c r="F20" s="7">
        <f t="shared" si="1"/>
        <v>2437</v>
      </c>
      <c r="G20" s="7"/>
      <c r="H20" s="7">
        <f t="shared" si="1"/>
        <v>2464</v>
      </c>
      <c r="I20" s="7">
        <f t="shared" si="1"/>
        <v>4313</v>
      </c>
      <c r="J20" s="7">
        <f t="shared" si="1"/>
        <v>1637</v>
      </c>
      <c r="K20" s="7">
        <f t="shared" si="1"/>
        <v>6137</v>
      </c>
      <c r="L20" s="7">
        <f t="shared" si="1"/>
        <v>6565</v>
      </c>
      <c r="M20" s="7">
        <f t="shared" si="1"/>
        <v>6890</v>
      </c>
    </row>
    <row r="21" spans="2:20" ht="33.75" customHeight="1">
      <c r="B21" s="12" t="s">
        <v>152</v>
      </c>
      <c r="C21" s="18">
        <f>AVERAGE(C3:C19)</f>
        <v>418.14285714285717</v>
      </c>
      <c r="D21" s="18">
        <f aca="true" t="shared" si="2" ref="D21:M21">AVERAGE(D3:D19)</f>
        <v>473.8333333333333</v>
      </c>
      <c r="E21" s="18"/>
      <c r="F21" s="18">
        <f t="shared" si="2"/>
        <v>406.1666666666667</v>
      </c>
      <c r="G21" s="18"/>
      <c r="H21" s="18">
        <f t="shared" si="2"/>
        <v>352</v>
      </c>
      <c r="I21" s="18">
        <f t="shared" si="2"/>
        <v>431.3</v>
      </c>
      <c r="J21" s="18">
        <f t="shared" si="2"/>
        <v>409.25</v>
      </c>
      <c r="K21" s="18">
        <f t="shared" si="2"/>
        <v>409.1333333333333</v>
      </c>
      <c r="L21" s="18">
        <f t="shared" si="2"/>
        <v>410.3125</v>
      </c>
      <c r="M21" s="18">
        <f t="shared" si="2"/>
        <v>430.625</v>
      </c>
      <c r="N21" s="3" t="s">
        <v>35</v>
      </c>
      <c r="O21" s="185" t="s">
        <v>135</v>
      </c>
      <c r="P21" s="185"/>
      <c r="Q21" s="3" t="s">
        <v>36</v>
      </c>
      <c r="R21" s="11" t="s">
        <v>136</v>
      </c>
      <c r="T21" s="14" t="s">
        <v>150</v>
      </c>
    </row>
    <row r="22" spans="14:20" ht="15.75">
      <c r="N22" s="6">
        <f>SUM(N3:N19)</f>
        <v>39140</v>
      </c>
      <c r="O22" s="1">
        <f>SUM(O3:O19)</f>
        <v>66</v>
      </c>
      <c r="P22" s="1">
        <f>SUM(P3:P19)</f>
        <v>62</v>
      </c>
      <c r="Q22" s="1">
        <f>SUM(Q3:Q19)</f>
        <v>-546</v>
      </c>
      <c r="R22" s="1">
        <f>SUM(R3:R19)</f>
        <v>16</v>
      </c>
      <c r="T22" s="2">
        <f>O22-P22</f>
        <v>4</v>
      </c>
    </row>
    <row r="23" spans="3:5" ht="15.75">
      <c r="C23" s="190" t="s">
        <v>48</v>
      </c>
      <c r="D23" s="190"/>
      <c r="E23" s="112"/>
    </row>
    <row r="24" spans="3:15" ht="15.75">
      <c r="C24" s="188" t="s">
        <v>157</v>
      </c>
      <c r="D24" s="188"/>
      <c r="E24" s="37"/>
      <c r="N24" s="1" t="s">
        <v>153</v>
      </c>
      <c r="O24" s="19">
        <f>SUM(N3:N19)/16</f>
        <v>2446.25</v>
      </c>
    </row>
    <row r="25" spans="3:5" ht="15.75">
      <c r="C25" s="189" t="s">
        <v>158</v>
      </c>
      <c r="D25" s="189"/>
      <c r="E25" s="35"/>
    </row>
    <row r="26" spans="11:14" ht="15.75">
      <c r="K26" s="185" t="s">
        <v>183</v>
      </c>
      <c r="L26" s="185"/>
      <c r="M26" s="3" t="s">
        <v>184</v>
      </c>
      <c r="N26" s="14" t="s">
        <v>150</v>
      </c>
    </row>
    <row r="27" spans="1:14" ht="15.75">
      <c r="A27" s="128" t="s">
        <v>169</v>
      </c>
      <c r="B27" s="129"/>
      <c r="C27" s="129" t="s">
        <v>176</v>
      </c>
      <c r="D27" s="129" t="s">
        <v>170</v>
      </c>
      <c r="E27" s="129"/>
      <c r="F27" s="186" t="s">
        <v>172</v>
      </c>
      <c r="G27" s="186"/>
      <c r="H27" s="186"/>
      <c r="K27" s="4">
        <f>O22+O48</f>
        <v>126</v>
      </c>
      <c r="L27" s="4">
        <f>P22+P48</f>
        <v>130</v>
      </c>
      <c r="M27" s="4">
        <f>R22+R48</f>
        <v>31</v>
      </c>
      <c r="N27" s="1">
        <f>K27-L27</f>
        <v>-4</v>
      </c>
    </row>
    <row r="29" ht="15.75">
      <c r="J29" s="16"/>
    </row>
    <row r="30" spans="2:18" ht="48" customHeight="1" thickBot="1">
      <c r="B30" s="5" t="s">
        <v>29</v>
      </c>
      <c r="C30" s="9" t="s">
        <v>84</v>
      </c>
      <c r="D30" s="9" t="s">
        <v>160</v>
      </c>
      <c r="E30" s="126" t="s">
        <v>254</v>
      </c>
      <c r="F30" s="9" t="s">
        <v>159</v>
      </c>
      <c r="G30" s="9" t="s">
        <v>251</v>
      </c>
      <c r="H30" s="9" t="s">
        <v>237</v>
      </c>
      <c r="I30" s="9" t="s">
        <v>85</v>
      </c>
      <c r="J30" s="9" t="s">
        <v>131</v>
      </c>
      <c r="K30" s="9" t="s">
        <v>165</v>
      </c>
      <c r="L30" s="9" t="s">
        <v>141</v>
      </c>
      <c r="M30" s="9" t="s">
        <v>146</v>
      </c>
      <c r="N30" s="3" t="s">
        <v>35</v>
      </c>
      <c r="O30" s="3" t="s">
        <v>28</v>
      </c>
      <c r="P30" s="3" t="s">
        <v>34</v>
      </c>
      <c r="Q30" s="3" t="s">
        <v>36</v>
      </c>
      <c r="R30" s="11" t="s">
        <v>134</v>
      </c>
    </row>
    <row r="31" spans="1:18" s="34" customFormat="1" ht="15.75">
      <c r="A31" s="36" t="s">
        <v>185</v>
      </c>
      <c r="B31" s="36" t="s">
        <v>32</v>
      </c>
      <c r="C31" s="30">
        <v>398</v>
      </c>
      <c r="D31" s="30"/>
      <c r="E31" s="30"/>
      <c r="F31" s="30"/>
      <c r="G31" s="30"/>
      <c r="H31" s="30">
        <v>349</v>
      </c>
      <c r="I31" s="106">
        <v>440</v>
      </c>
      <c r="J31" s="30"/>
      <c r="K31" s="106">
        <v>417</v>
      </c>
      <c r="L31" s="106">
        <v>408</v>
      </c>
      <c r="M31" s="106">
        <v>433</v>
      </c>
      <c r="N31" s="29">
        <f>SUM(C31:M31)</f>
        <v>2445</v>
      </c>
      <c r="O31" s="29">
        <v>6</v>
      </c>
      <c r="P31" s="29">
        <v>2</v>
      </c>
      <c r="Q31" s="29">
        <v>39</v>
      </c>
      <c r="R31" s="29">
        <v>2</v>
      </c>
    </row>
    <row r="32" spans="1:18" s="25" customFormat="1" ht="15.75">
      <c r="A32" s="38" t="s">
        <v>186</v>
      </c>
      <c r="B32" s="38" t="s">
        <v>16</v>
      </c>
      <c r="C32" s="21">
        <v>413</v>
      </c>
      <c r="D32" s="108">
        <v>450</v>
      </c>
      <c r="E32" s="21"/>
      <c r="F32" s="21"/>
      <c r="G32" s="21"/>
      <c r="H32" s="21"/>
      <c r="I32" s="21">
        <v>417</v>
      </c>
      <c r="J32" s="21"/>
      <c r="K32" s="21">
        <v>395</v>
      </c>
      <c r="L32" s="21">
        <v>414</v>
      </c>
      <c r="M32" s="21">
        <v>416</v>
      </c>
      <c r="N32" s="20">
        <f>SUM(C32:M32)</f>
        <v>2505</v>
      </c>
      <c r="O32" s="20">
        <v>1</v>
      </c>
      <c r="P32" s="20">
        <v>7</v>
      </c>
      <c r="Q32" s="20">
        <v>-87</v>
      </c>
      <c r="R32" s="20">
        <v>0</v>
      </c>
    </row>
    <row r="33" spans="1:18" s="25" customFormat="1" ht="15.75">
      <c r="A33" s="38" t="s">
        <v>187</v>
      </c>
      <c r="B33" s="38" t="s">
        <v>198</v>
      </c>
      <c r="C33" s="21">
        <v>409</v>
      </c>
      <c r="D33" s="108">
        <v>448</v>
      </c>
      <c r="E33" s="21"/>
      <c r="F33" s="21"/>
      <c r="G33" s="21"/>
      <c r="H33" s="21"/>
      <c r="I33" s="108">
        <v>440</v>
      </c>
      <c r="J33" s="21"/>
      <c r="K33" s="108">
        <v>415</v>
      </c>
      <c r="L33" s="108">
        <v>440</v>
      </c>
      <c r="M33" s="108">
        <v>437</v>
      </c>
      <c r="N33" s="20">
        <f>SUM(C33:M33)</f>
        <v>2589</v>
      </c>
      <c r="O33" s="20">
        <v>7</v>
      </c>
      <c r="P33" s="20">
        <v>1</v>
      </c>
      <c r="Q33" s="20">
        <v>268</v>
      </c>
      <c r="R33" s="20">
        <v>2</v>
      </c>
    </row>
    <row r="34" spans="1:18" s="34" customFormat="1" ht="15.75">
      <c r="A34" s="36" t="s">
        <v>188</v>
      </c>
      <c r="B34" s="36" t="s">
        <v>18</v>
      </c>
      <c r="C34" s="30">
        <v>402</v>
      </c>
      <c r="D34" s="106">
        <v>434</v>
      </c>
      <c r="E34" s="30"/>
      <c r="F34" s="30"/>
      <c r="G34" s="30"/>
      <c r="H34" s="30"/>
      <c r="I34" s="30">
        <v>409</v>
      </c>
      <c r="J34" s="30"/>
      <c r="K34" s="30">
        <v>406</v>
      </c>
      <c r="L34" s="30">
        <v>367</v>
      </c>
      <c r="M34" s="30">
        <v>403</v>
      </c>
      <c r="N34" s="29">
        <f>SUM(C34:M34)</f>
        <v>2421</v>
      </c>
      <c r="O34" s="29">
        <v>1</v>
      </c>
      <c r="P34" s="29">
        <v>7</v>
      </c>
      <c r="Q34" s="29">
        <v>-102</v>
      </c>
      <c r="R34" s="29">
        <v>0</v>
      </c>
    </row>
    <row r="35" spans="1:18" s="25" customFormat="1" ht="15.75">
      <c r="A35" s="38" t="s">
        <v>189</v>
      </c>
      <c r="B35" s="38" t="s">
        <v>26</v>
      </c>
      <c r="C35" s="21">
        <v>426</v>
      </c>
      <c r="D35" s="108">
        <v>450</v>
      </c>
      <c r="E35" s="21"/>
      <c r="F35" s="21"/>
      <c r="G35" s="21"/>
      <c r="H35" s="21"/>
      <c r="I35" s="108">
        <v>451</v>
      </c>
      <c r="J35" s="21"/>
      <c r="K35" s="108">
        <v>440</v>
      </c>
      <c r="L35" s="21">
        <v>409</v>
      </c>
      <c r="M35" s="21">
        <v>394</v>
      </c>
      <c r="N35" s="20">
        <f>SUM(C35:M35)</f>
        <v>2570</v>
      </c>
      <c r="O35" s="20">
        <v>3</v>
      </c>
      <c r="P35" s="20">
        <v>5</v>
      </c>
      <c r="Q35" s="20">
        <v>-14</v>
      </c>
      <c r="R35" s="20">
        <v>0</v>
      </c>
    </row>
    <row r="36" spans="1:18" s="34" customFormat="1" ht="15.75">
      <c r="A36" s="36" t="s">
        <v>190</v>
      </c>
      <c r="B36" s="36" t="s">
        <v>20</v>
      </c>
      <c r="C36" s="30"/>
      <c r="D36" s="106">
        <v>467</v>
      </c>
      <c r="E36" s="30"/>
      <c r="F36" s="30"/>
      <c r="G36" s="30"/>
      <c r="H36" s="30">
        <v>334</v>
      </c>
      <c r="I36" s="106">
        <v>453</v>
      </c>
      <c r="J36" s="30"/>
      <c r="K36" s="30">
        <v>406</v>
      </c>
      <c r="L36" s="106">
        <v>435</v>
      </c>
      <c r="M36" s="30">
        <v>423</v>
      </c>
      <c r="N36" s="29">
        <f aca="true" t="shared" si="3" ref="N36:N46">SUM(C36:M36)</f>
        <v>2518</v>
      </c>
      <c r="O36" s="29">
        <v>3</v>
      </c>
      <c r="P36" s="29">
        <v>5</v>
      </c>
      <c r="Q36" s="29">
        <v>-27</v>
      </c>
      <c r="R36" s="29">
        <v>0</v>
      </c>
    </row>
    <row r="37" spans="1:18" s="25" customFormat="1" ht="15.75">
      <c r="A37" s="38" t="s">
        <v>191</v>
      </c>
      <c r="B37" s="38" t="s">
        <v>22</v>
      </c>
      <c r="C37" s="108">
        <v>436</v>
      </c>
      <c r="D37" s="108">
        <v>457</v>
      </c>
      <c r="E37" s="21"/>
      <c r="F37" s="21"/>
      <c r="G37" s="21"/>
      <c r="H37" s="21"/>
      <c r="I37" s="108">
        <v>478</v>
      </c>
      <c r="J37" s="21"/>
      <c r="K37" s="21">
        <v>391</v>
      </c>
      <c r="L37" s="108">
        <v>437</v>
      </c>
      <c r="M37" s="21">
        <v>426</v>
      </c>
      <c r="N37" s="20">
        <f t="shared" si="3"/>
        <v>2625</v>
      </c>
      <c r="O37" s="20">
        <v>6</v>
      </c>
      <c r="P37" s="20">
        <v>2</v>
      </c>
      <c r="Q37" s="20">
        <f>N37-2511</f>
        <v>114</v>
      </c>
      <c r="R37" s="20">
        <v>2</v>
      </c>
    </row>
    <row r="38" spans="1:18" s="34" customFormat="1" ht="15.75">
      <c r="A38" s="36" t="s">
        <v>192</v>
      </c>
      <c r="B38" s="36" t="s">
        <v>30</v>
      </c>
      <c r="C38" s="30">
        <v>409</v>
      </c>
      <c r="D38" s="106">
        <v>441</v>
      </c>
      <c r="E38" s="30"/>
      <c r="F38" s="30"/>
      <c r="G38" s="30"/>
      <c r="H38" s="30"/>
      <c r="I38" s="30">
        <v>400</v>
      </c>
      <c r="J38" s="30"/>
      <c r="K38" s="30">
        <v>382</v>
      </c>
      <c r="L38" s="106">
        <v>467</v>
      </c>
      <c r="M38" s="30">
        <v>405</v>
      </c>
      <c r="N38" s="29">
        <f t="shared" si="3"/>
        <v>2504</v>
      </c>
      <c r="O38" s="29">
        <v>2</v>
      </c>
      <c r="P38" s="29">
        <v>6</v>
      </c>
      <c r="Q38" s="29">
        <v>-88</v>
      </c>
      <c r="R38" s="29">
        <v>0</v>
      </c>
    </row>
    <row r="39" spans="1:18" s="25" customFormat="1" ht="15.75">
      <c r="A39" s="38" t="s">
        <v>193</v>
      </c>
      <c r="B39" s="21" t="s">
        <v>19</v>
      </c>
      <c r="C39" s="108">
        <v>412</v>
      </c>
      <c r="D39" s="108">
        <v>465</v>
      </c>
      <c r="E39" s="21"/>
      <c r="F39" s="21"/>
      <c r="G39" s="21"/>
      <c r="H39" s="21"/>
      <c r="I39" s="21">
        <v>359</v>
      </c>
      <c r="J39" s="21"/>
      <c r="K39" s="21">
        <v>390</v>
      </c>
      <c r="L39" s="21">
        <v>399</v>
      </c>
      <c r="M39" s="108">
        <v>458</v>
      </c>
      <c r="N39" s="20">
        <f t="shared" si="3"/>
        <v>2483</v>
      </c>
      <c r="O39" s="20">
        <v>5</v>
      </c>
      <c r="P39" s="20">
        <v>3</v>
      </c>
      <c r="Q39" s="20">
        <f>N39-2280</f>
        <v>203</v>
      </c>
      <c r="R39" s="20">
        <v>2</v>
      </c>
    </row>
    <row r="40" spans="1:18" s="34" customFormat="1" ht="15.75">
      <c r="A40" s="36" t="s">
        <v>194</v>
      </c>
      <c r="B40" s="36" t="s">
        <v>24</v>
      </c>
      <c r="C40" s="106">
        <v>423</v>
      </c>
      <c r="D40" s="30"/>
      <c r="E40" s="30"/>
      <c r="F40" s="30"/>
      <c r="G40" s="30"/>
      <c r="H40" s="30">
        <v>359</v>
      </c>
      <c r="I40" s="106">
        <v>390</v>
      </c>
      <c r="J40" s="30"/>
      <c r="K40" s="30">
        <v>360</v>
      </c>
      <c r="L40" s="106">
        <v>419</v>
      </c>
      <c r="M40" s="30">
        <v>386</v>
      </c>
      <c r="N40" s="29">
        <f t="shared" si="3"/>
        <v>2337</v>
      </c>
      <c r="O40" s="29">
        <v>5</v>
      </c>
      <c r="P40" s="29">
        <v>3</v>
      </c>
      <c r="Q40" s="29">
        <v>17</v>
      </c>
      <c r="R40" s="29">
        <v>2</v>
      </c>
    </row>
    <row r="41" spans="1:18" s="25" customFormat="1" ht="15.75">
      <c r="A41" s="38" t="s">
        <v>195</v>
      </c>
      <c r="B41" s="38" t="s">
        <v>199</v>
      </c>
      <c r="C41" s="108">
        <v>402</v>
      </c>
      <c r="D41" s="38"/>
      <c r="E41" s="21"/>
      <c r="F41" s="38"/>
      <c r="G41" s="38">
        <v>275</v>
      </c>
      <c r="H41" s="38">
        <v>359</v>
      </c>
      <c r="I41" s="108">
        <v>399</v>
      </c>
      <c r="J41" s="38"/>
      <c r="K41" s="38"/>
      <c r="L41" s="108">
        <v>400</v>
      </c>
      <c r="M41" s="108">
        <v>432</v>
      </c>
      <c r="N41" s="20">
        <f t="shared" si="3"/>
        <v>2267</v>
      </c>
      <c r="O41" s="20">
        <v>4</v>
      </c>
      <c r="P41" s="20">
        <v>4</v>
      </c>
      <c r="Q41" s="20">
        <v>-54</v>
      </c>
      <c r="R41" s="20">
        <v>1</v>
      </c>
    </row>
    <row r="42" spans="1:18" s="64" customFormat="1" ht="15.75">
      <c r="A42" s="66" t="s">
        <v>196</v>
      </c>
      <c r="B42" s="66" t="s">
        <v>23</v>
      </c>
      <c r="C42" s="66"/>
      <c r="D42" s="66"/>
      <c r="E42" s="122"/>
      <c r="F42" s="66"/>
      <c r="G42" s="66"/>
      <c r="H42" s="66"/>
      <c r="I42" s="66"/>
      <c r="J42" s="66"/>
      <c r="K42" s="66"/>
      <c r="L42" s="66"/>
      <c r="M42" s="66"/>
      <c r="N42" s="63">
        <f t="shared" si="3"/>
        <v>0</v>
      </c>
      <c r="O42" s="63"/>
      <c r="P42" s="63"/>
      <c r="Q42" s="63"/>
      <c r="R42" s="63"/>
    </row>
    <row r="43" spans="1:18" s="25" customFormat="1" ht="15.75">
      <c r="A43" s="38" t="s">
        <v>197</v>
      </c>
      <c r="B43" s="38" t="s">
        <v>21</v>
      </c>
      <c r="C43" s="108">
        <v>432</v>
      </c>
      <c r="D43" s="38"/>
      <c r="E43" s="21"/>
      <c r="F43" s="38"/>
      <c r="G43" s="38"/>
      <c r="H43" s="38">
        <v>336</v>
      </c>
      <c r="I43" s="38">
        <v>399</v>
      </c>
      <c r="J43" s="38"/>
      <c r="K43" s="108">
        <v>409</v>
      </c>
      <c r="L43" s="38">
        <v>402</v>
      </c>
      <c r="M43" s="108">
        <v>444</v>
      </c>
      <c r="N43" s="20">
        <f t="shared" si="3"/>
        <v>2422</v>
      </c>
      <c r="O43" s="20">
        <v>3</v>
      </c>
      <c r="P43" s="20">
        <v>5</v>
      </c>
      <c r="Q43" s="20">
        <v>-62</v>
      </c>
      <c r="R43" s="20">
        <v>0</v>
      </c>
    </row>
    <row r="44" spans="1:18" s="34" customFormat="1" ht="15.75">
      <c r="A44" s="36" t="s">
        <v>242</v>
      </c>
      <c r="B44" s="36" t="s">
        <v>25</v>
      </c>
      <c r="C44" s="106">
        <v>438</v>
      </c>
      <c r="D44" s="106">
        <v>455</v>
      </c>
      <c r="E44" s="30"/>
      <c r="F44" s="36"/>
      <c r="G44" s="36"/>
      <c r="H44" s="36"/>
      <c r="I44" s="106">
        <v>425</v>
      </c>
      <c r="J44" s="36"/>
      <c r="K44" s="36">
        <v>386</v>
      </c>
      <c r="L44" s="36">
        <v>399</v>
      </c>
      <c r="M44" s="36">
        <v>429</v>
      </c>
      <c r="N44" s="29">
        <f t="shared" si="3"/>
        <v>2532</v>
      </c>
      <c r="O44" s="29">
        <v>3</v>
      </c>
      <c r="P44" s="29">
        <v>5</v>
      </c>
      <c r="Q44" s="29">
        <v>-25</v>
      </c>
      <c r="R44" s="29">
        <v>0</v>
      </c>
    </row>
    <row r="45" spans="1:18" s="25" customFormat="1" ht="15.75">
      <c r="A45" s="38" t="s">
        <v>243</v>
      </c>
      <c r="B45" s="38" t="s">
        <v>17</v>
      </c>
      <c r="C45" s="108">
        <v>409</v>
      </c>
      <c r="D45" s="108">
        <v>453</v>
      </c>
      <c r="E45" s="21"/>
      <c r="F45" s="38"/>
      <c r="G45" s="38"/>
      <c r="H45" s="38">
        <v>373</v>
      </c>
      <c r="I45" s="108">
        <v>423</v>
      </c>
      <c r="J45" s="38"/>
      <c r="K45" s="38">
        <v>392</v>
      </c>
      <c r="L45" s="38"/>
      <c r="M45" s="38">
        <v>409</v>
      </c>
      <c r="N45" s="20">
        <f t="shared" si="3"/>
        <v>2459</v>
      </c>
      <c r="O45" s="20">
        <v>5</v>
      </c>
      <c r="P45" s="20">
        <v>3</v>
      </c>
      <c r="Q45" s="20">
        <v>10</v>
      </c>
      <c r="R45" s="20">
        <v>2</v>
      </c>
    </row>
    <row r="46" spans="1:18" s="34" customFormat="1" ht="15.75">
      <c r="A46" s="36" t="s">
        <v>244</v>
      </c>
      <c r="B46" s="36" t="s">
        <v>15</v>
      </c>
      <c r="C46" s="36">
        <v>393</v>
      </c>
      <c r="D46" s="36"/>
      <c r="E46" s="106">
        <v>437</v>
      </c>
      <c r="G46" s="36"/>
      <c r="H46" s="36">
        <v>364</v>
      </c>
      <c r="I46" s="36">
        <v>393</v>
      </c>
      <c r="J46" s="36"/>
      <c r="K46" s="36">
        <v>403</v>
      </c>
      <c r="L46" s="36"/>
      <c r="M46" s="36">
        <v>388</v>
      </c>
      <c r="N46" s="29">
        <f t="shared" si="3"/>
        <v>2378</v>
      </c>
      <c r="O46" s="29">
        <v>1</v>
      </c>
      <c r="P46" s="29">
        <v>7</v>
      </c>
      <c r="Q46" s="29">
        <f>N46-2619</f>
        <v>-241</v>
      </c>
      <c r="R46" s="29">
        <v>0</v>
      </c>
    </row>
    <row r="47" spans="1:18" s="25" customFormat="1" ht="16.5" thickBot="1">
      <c r="A47" s="38" t="s">
        <v>245</v>
      </c>
      <c r="B47" s="38" t="s">
        <v>27</v>
      </c>
      <c r="C47" s="38">
        <v>408</v>
      </c>
      <c r="D47" s="108">
        <v>474</v>
      </c>
      <c r="E47" s="108">
        <v>431</v>
      </c>
      <c r="G47" s="38"/>
      <c r="H47" s="38"/>
      <c r="I47" s="38">
        <v>428</v>
      </c>
      <c r="J47" s="38"/>
      <c r="K47" s="38">
        <v>397</v>
      </c>
      <c r="L47" s="38"/>
      <c r="M47" s="108">
        <v>462</v>
      </c>
      <c r="N47" s="20">
        <f>SUM(C47:M47)</f>
        <v>2600</v>
      </c>
      <c r="O47" s="28">
        <v>5</v>
      </c>
      <c r="P47" s="28">
        <v>3</v>
      </c>
      <c r="Q47" s="28">
        <v>13</v>
      </c>
      <c r="R47" s="28">
        <v>2</v>
      </c>
    </row>
    <row r="48" spans="3:18" ht="16.5" thickTop="1">
      <c r="C48" s="178">
        <f>SUM(C31:C47)</f>
        <v>6210</v>
      </c>
      <c r="D48" s="178">
        <f aca="true" t="shared" si="4" ref="D48:M48">SUM(D31:D47)</f>
        <v>4994</v>
      </c>
      <c r="E48" s="178">
        <f t="shared" si="4"/>
        <v>868</v>
      </c>
      <c r="F48" s="178">
        <f t="shared" si="4"/>
        <v>0</v>
      </c>
      <c r="G48" s="178">
        <f t="shared" si="4"/>
        <v>275</v>
      </c>
      <c r="H48" s="178">
        <f t="shared" si="4"/>
        <v>2474</v>
      </c>
      <c r="I48" s="178">
        <f t="shared" si="4"/>
        <v>6704</v>
      </c>
      <c r="J48" s="178">
        <f t="shared" si="4"/>
        <v>0</v>
      </c>
      <c r="K48" s="178">
        <f t="shared" si="4"/>
        <v>5989</v>
      </c>
      <c r="L48" s="178">
        <f t="shared" si="4"/>
        <v>5396</v>
      </c>
      <c r="M48" s="178">
        <f t="shared" si="4"/>
        <v>6745</v>
      </c>
      <c r="O48" s="1">
        <f>SUM(O31:O47)</f>
        <v>60</v>
      </c>
      <c r="P48" s="1">
        <f>SUM(P31:P47)</f>
        <v>68</v>
      </c>
      <c r="Q48" s="1">
        <f>SUM(Q31:Q47)</f>
        <v>-36</v>
      </c>
      <c r="R48" s="1">
        <f>SUM(R31:R47)</f>
        <v>15</v>
      </c>
    </row>
    <row r="50" spans="2:20" ht="31.5">
      <c r="B50" s="12" t="s">
        <v>152</v>
      </c>
      <c r="C50" s="18">
        <f>AVERAGE(C31:C47)</f>
        <v>414</v>
      </c>
      <c r="D50" s="18">
        <f aca="true" t="shared" si="5" ref="D50:M50">AVERAGE(D31:D47)</f>
        <v>454</v>
      </c>
      <c r="E50" s="18">
        <f t="shared" si="5"/>
        <v>434</v>
      </c>
      <c r="F50" s="18"/>
      <c r="G50" s="18">
        <f t="shared" si="5"/>
        <v>275</v>
      </c>
      <c r="H50" s="18">
        <f t="shared" si="5"/>
        <v>353.42857142857144</v>
      </c>
      <c r="I50" s="18">
        <f t="shared" si="5"/>
        <v>419</v>
      </c>
      <c r="J50" s="18"/>
      <c r="K50" s="18">
        <f t="shared" si="5"/>
        <v>399.26666666666665</v>
      </c>
      <c r="L50" s="18">
        <f t="shared" si="5"/>
        <v>415.0769230769231</v>
      </c>
      <c r="M50" s="18">
        <f t="shared" si="5"/>
        <v>421.5625</v>
      </c>
      <c r="N50" s="3" t="s">
        <v>35</v>
      </c>
      <c r="O50" s="185" t="s">
        <v>135</v>
      </c>
      <c r="P50" s="185"/>
      <c r="Q50" s="3" t="s">
        <v>36</v>
      </c>
      <c r="R50" s="11" t="s">
        <v>136</v>
      </c>
      <c r="T50" s="14" t="s">
        <v>150</v>
      </c>
    </row>
    <row r="51" spans="14:20" ht="15.75">
      <c r="N51" s="6">
        <f>SUM(N31:N47)</f>
        <v>39655</v>
      </c>
      <c r="O51" s="6">
        <f>SUM(O31:O47)</f>
        <v>60</v>
      </c>
      <c r="P51" s="6">
        <f>SUM(P31:P47)</f>
        <v>68</v>
      </c>
      <c r="Q51" s="6">
        <f>SUM(Q31:Q47)</f>
        <v>-36</v>
      </c>
      <c r="R51" s="6">
        <f>SUM(R31:R47)</f>
        <v>15</v>
      </c>
      <c r="T51" s="2">
        <f>O51-P51</f>
        <v>-8</v>
      </c>
    </row>
    <row r="53" spans="14:15" ht="15.75">
      <c r="N53" s="1" t="s">
        <v>153</v>
      </c>
      <c r="O53" s="19">
        <f>SUM(N31:N47)/16</f>
        <v>2478.4375</v>
      </c>
    </row>
  </sheetData>
  <mergeCells count="9">
    <mergeCell ref="O50:P50"/>
    <mergeCell ref="F27:H27"/>
    <mergeCell ref="O1:P1"/>
    <mergeCell ref="C23:D23"/>
    <mergeCell ref="O21:P21"/>
    <mergeCell ref="K26:L26"/>
    <mergeCell ref="C24:D24"/>
    <mergeCell ref="C25:D25"/>
    <mergeCell ref="C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22">
      <selection activeCell="Q32" sqref="Q32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0.625" style="1" customWidth="1"/>
    <col min="4" max="7" width="9.125" style="1" customWidth="1"/>
    <col min="8" max="8" width="9.75390625" style="1" customWidth="1"/>
    <col min="9" max="10" width="9.125" style="1" customWidth="1"/>
    <col min="11" max="11" width="11.00390625" style="1" customWidth="1"/>
    <col min="12" max="12" width="9.125" style="1" customWidth="1"/>
    <col min="13" max="13" width="15.375" style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2.25" thickBot="1">
      <c r="B2" s="3" t="s">
        <v>29</v>
      </c>
      <c r="C2" s="9" t="s">
        <v>63</v>
      </c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9" t="s">
        <v>143</v>
      </c>
      <c r="J2" s="9"/>
      <c r="K2" s="9"/>
      <c r="L2" s="9"/>
      <c r="M2" s="3" t="s">
        <v>35</v>
      </c>
      <c r="N2" s="3" t="s">
        <v>22</v>
      </c>
      <c r="O2" s="3" t="s">
        <v>34</v>
      </c>
      <c r="P2" s="3" t="s">
        <v>36</v>
      </c>
      <c r="Q2" s="11" t="s">
        <v>134</v>
      </c>
    </row>
    <row r="3" spans="1:17" s="25" customFormat="1" ht="15.75">
      <c r="A3" s="20" t="s">
        <v>0</v>
      </c>
      <c r="B3" s="20" t="s">
        <v>21</v>
      </c>
      <c r="C3" s="49"/>
      <c r="D3" s="49">
        <v>411</v>
      </c>
      <c r="E3" s="77">
        <v>444</v>
      </c>
      <c r="F3" s="49">
        <v>400</v>
      </c>
      <c r="G3" s="49">
        <v>384</v>
      </c>
      <c r="H3" s="77">
        <v>418</v>
      </c>
      <c r="I3" s="49">
        <v>388</v>
      </c>
      <c r="J3" s="49"/>
      <c r="K3" s="49"/>
      <c r="L3" s="62"/>
      <c r="M3" s="23">
        <f>SUM(C3:I3)</f>
        <v>2445</v>
      </c>
      <c r="N3" s="20">
        <v>2</v>
      </c>
      <c r="O3" s="20">
        <v>6</v>
      </c>
      <c r="P3" s="20">
        <v>-48</v>
      </c>
      <c r="Q3" s="20">
        <v>0</v>
      </c>
    </row>
    <row r="4" spans="1:17" s="34" customFormat="1" ht="15.75">
      <c r="A4" s="29" t="s">
        <v>1</v>
      </c>
      <c r="B4" s="29" t="s">
        <v>25</v>
      </c>
      <c r="C4" s="52"/>
      <c r="D4" s="74">
        <v>439</v>
      </c>
      <c r="E4" s="74">
        <v>451</v>
      </c>
      <c r="F4" s="105">
        <v>457</v>
      </c>
      <c r="G4" s="52">
        <v>390</v>
      </c>
      <c r="H4" s="52">
        <v>412</v>
      </c>
      <c r="I4" s="105">
        <v>440</v>
      </c>
      <c r="J4" s="52"/>
      <c r="K4" s="52"/>
      <c r="L4" s="44"/>
      <c r="M4" s="32">
        <f aca="true" t="shared" si="0" ref="M4:M19">SUM(C4:I4)</f>
        <v>2589</v>
      </c>
      <c r="N4" s="29">
        <v>4</v>
      </c>
      <c r="O4" s="29">
        <v>4</v>
      </c>
      <c r="P4" s="29">
        <f>2589-2597</f>
        <v>-8</v>
      </c>
      <c r="Q4" s="29">
        <v>1</v>
      </c>
    </row>
    <row r="5" spans="1:17" s="25" customFormat="1" ht="15.75">
      <c r="A5" s="20" t="s">
        <v>2</v>
      </c>
      <c r="B5" s="20" t="s">
        <v>17</v>
      </c>
      <c r="C5" s="49"/>
      <c r="D5" s="47">
        <v>397</v>
      </c>
      <c r="E5" s="47">
        <v>414</v>
      </c>
      <c r="F5" s="77">
        <v>426</v>
      </c>
      <c r="G5" s="49">
        <v>387</v>
      </c>
      <c r="H5" s="77">
        <v>429</v>
      </c>
      <c r="I5" s="49">
        <v>397</v>
      </c>
      <c r="J5" s="49"/>
      <c r="K5" s="49"/>
      <c r="L5" s="39"/>
      <c r="M5" s="23">
        <f t="shared" si="0"/>
        <v>2450</v>
      </c>
      <c r="N5" s="20">
        <v>2</v>
      </c>
      <c r="O5" s="20">
        <v>6</v>
      </c>
      <c r="P5" s="20">
        <v>-93</v>
      </c>
      <c r="Q5" s="20">
        <v>0</v>
      </c>
    </row>
    <row r="6" spans="1:17" s="34" customFormat="1" ht="15.75">
      <c r="A6" s="29" t="s">
        <v>3</v>
      </c>
      <c r="B6" s="30" t="s">
        <v>15</v>
      </c>
      <c r="C6" s="52">
        <v>392</v>
      </c>
      <c r="D6" s="74">
        <v>413</v>
      </c>
      <c r="E6" s="48">
        <v>411</v>
      </c>
      <c r="F6" s="52">
        <v>380</v>
      </c>
      <c r="G6" s="52"/>
      <c r="H6" s="52">
        <v>408</v>
      </c>
      <c r="I6" s="105">
        <v>413</v>
      </c>
      <c r="J6" s="52"/>
      <c r="K6" s="52"/>
      <c r="L6" s="44"/>
      <c r="M6" s="32">
        <f t="shared" si="0"/>
        <v>2417</v>
      </c>
      <c r="N6" s="29">
        <v>2</v>
      </c>
      <c r="O6" s="29">
        <v>6</v>
      </c>
      <c r="P6" s="29">
        <v>-109</v>
      </c>
      <c r="Q6" s="29">
        <v>0</v>
      </c>
    </row>
    <row r="7" spans="1:17" s="25" customFormat="1" ht="15.75">
      <c r="A7" s="20" t="s">
        <v>4</v>
      </c>
      <c r="B7" s="20" t="s">
        <v>27</v>
      </c>
      <c r="C7" s="49">
        <v>396</v>
      </c>
      <c r="D7" s="73">
        <v>421</v>
      </c>
      <c r="E7" s="47">
        <v>402</v>
      </c>
      <c r="F7" s="49"/>
      <c r="G7" s="77">
        <v>426</v>
      </c>
      <c r="H7" s="77">
        <v>419</v>
      </c>
      <c r="I7" s="77">
        <v>424</v>
      </c>
      <c r="J7" s="49"/>
      <c r="K7" s="49"/>
      <c r="L7" s="39"/>
      <c r="M7" s="23">
        <f t="shared" si="0"/>
        <v>2488</v>
      </c>
      <c r="N7" s="20">
        <v>6</v>
      </c>
      <c r="O7" s="20">
        <v>2</v>
      </c>
      <c r="P7" s="20">
        <v>6</v>
      </c>
      <c r="Q7" s="20">
        <v>2</v>
      </c>
    </row>
    <row r="8" spans="1:17" s="34" customFormat="1" ht="15.75">
      <c r="A8" s="29" t="s">
        <v>5</v>
      </c>
      <c r="B8" s="29" t="s">
        <v>32</v>
      </c>
      <c r="C8" s="48"/>
      <c r="D8" s="48">
        <v>407</v>
      </c>
      <c r="E8" s="74">
        <v>419</v>
      </c>
      <c r="F8" s="105">
        <v>423</v>
      </c>
      <c r="G8" s="52">
        <v>381</v>
      </c>
      <c r="H8" s="52">
        <v>385</v>
      </c>
      <c r="I8" s="105">
        <v>408</v>
      </c>
      <c r="J8" s="52"/>
      <c r="K8" s="52"/>
      <c r="L8" s="44"/>
      <c r="M8" s="32">
        <f t="shared" si="0"/>
        <v>2423</v>
      </c>
      <c r="N8" s="29">
        <v>5</v>
      </c>
      <c r="O8" s="29">
        <v>3</v>
      </c>
      <c r="P8" s="32">
        <v>15</v>
      </c>
      <c r="Q8" s="29">
        <v>2</v>
      </c>
    </row>
    <row r="9" spans="1:17" s="25" customFormat="1" ht="15.75">
      <c r="A9" s="20" t="s">
        <v>6</v>
      </c>
      <c r="B9" s="20" t="s">
        <v>28</v>
      </c>
      <c r="C9" s="49">
        <v>398</v>
      </c>
      <c r="D9" s="73">
        <v>464</v>
      </c>
      <c r="E9" s="47">
        <v>390</v>
      </c>
      <c r="F9" s="77">
        <v>417</v>
      </c>
      <c r="G9" s="49"/>
      <c r="H9" s="77">
        <v>438</v>
      </c>
      <c r="I9" s="49">
        <v>403</v>
      </c>
      <c r="J9" s="49"/>
      <c r="K9" s="49"/>
      <c r="L9" s="39"/>
      <c r="M9" s="23">
        <f t="shared" si="0"/>
        <v>2510</v>
      </c>
      <c r="N9" s="20">
        <v>5</v>
      </c>
      <c r="O9" s="20">
        <v>3</v>
      </c>
      <c r="P9" s="20">
        <v>482</v>
      </c>
      <c r="Q9" s="20">
        <v>2</v>
      </c>
    </row>
    <row r="10" spans="1:17" s="34" customFormat="1" ht="15.75">
      <c r="A10" s="29" t="s">
        <v>7</v>
      </c>
      <c r="B10" s="29" t="s">
        <v>198</v>
      </c>
      <c r="C10" s="74">
        <v>423</v>
      </c>
      <c r="D10" s="74">
        <v>428</v>
      </c>
      <c r="E10" s="48"/>
      <c r="F10" s="105">
        <v>418</v>
      </c>
      <c r="G10" s="52">
        <v>386</v>
      </c>
      <c r="H10" s="52">
        <v>383</v>
      </c>
      <c r="I10" s="105">
        <v>433</v>
      </c>
      <c r="J10" s="52"/>
      <c r="K10" s="52"/>
      <c r="L10" s="44"/>
      <c r="M10" s="32">
        <f t="shared" si="0"/>
        <v>2471</v>
      </c>
      <c r="N10" s="29">
        <v>6</v>
      </c>
      <c r="O10" s="29">
        <v>2</v>
      </c>
      <c r="P10" s="32">
        <f>M10-2321</f>
        <v>150</v>
      </c>
      <c r="Q10" s="29">
        <v>2</v>
      </c>
    </row>
    <row r="11" spans="1:17" s="25" customFormat="1" ht="15.75">
      <c r="A11" s="20" t="s">
        <v>8</v>
      </c>
      <c r="B11" s="20" t="s">
        <v>18</v>
      </c>
      <c r="C11" s="47">
        <v>407</v>
      </c>
      <c r="D11" s="73">
        <v>425</v>
      </c>
      <c r="E11" s="73">
        <v>420</v>
      </c>
      <c r="F11" s="47">
        <v>396</v>
      </c>
      <c r="G11" s="47">
        <v>392</v>
      </c>
      <c r="H11" s="47"/>
      <c r="I11" s="47">
        <v>398</v>
      </c>
      <c r="J11" s="49"/>
      <c r="K11" s="49"/>
      <c r="L11" s="39"/>
      <c r="M11" s="23">
        <f t="shared" si="0"/>
        <v>2438</v>
      </c>
      <c r="N11" s="20">
        <v>2</v>
      </c>
      <c r="O11" s="20">
        <v>6</v>
      </c>
      <c r="P11" s="23">
        <f>M11-2506</f>
        <v>-68</v>
      </c>
      <c r="Q11" s="20">
        <v>0</v>
      </c>
    </row>
    <row r="12" spans="1:17" s="34" customFormat="1" ht="15.75">
      <c r="A12" s="29" t="s">
        <v>9</v>
      </c>
      <c r="B12" s="29" t="s">
        <v>26</v>
      </c>
      <c r="C12" s="74">
        <v>433</v>
      </c>
      <c r="D12" s="74">
        <v>453</v>
      </c>
      <c r="E12" s="48">
        <v>412</v>
      </c>
      <c r="F12" s="52">
        <v>395</v>
      </c>
      <c r="G12" s="52"/>
      <c r="H12" s="52">
        <v>416</v>
      </c>
      <c r="I12" s="52">
        <v>404</v>
      </c>
      <c r="J12" s="52"/>
      <c r="K12" s="52"/>
      <c r="L12" s="44"/>
      <c r="M12" s="32">
        <f t="shared" si="0"/>
        <v>2513</v>
      </c>
      <c r="N12" s="29">
        <v>2</v>
      </c>
      <c r="O12" s="29">
        <v>6</v>
      </c>
      <c r="P12" s="32">
        <v>-23</v>
      </c>
      <c r="Q12" s="29">
        <v>0</v>
      </c>
    </row>
    <row r="13" spans="1:17" s="25" customFormat="1" ht="15.75">
      <c r="A13" s="20" t="s">
        <v>10</v>
      </c>
      <c r="B13" s="20" t="s">
        <v>20</v>
      </c>
      <c r="C13" s="49">
        <v>389</v>
      </c>
      <c r="D13" s="73">
        <v>442</v>
      </c>
      <c r="E13" s="73">
        <v>425</v>
      </c>
      <c r="F13" s="49"/>
      <c r="G13" s="49">
        <v>409</v>
      </c>
      <c r="H13" s="49">
        <v>396</v>
      </c>
      <c r="I13" s="77">
        <v>432</v>
      </c>
      <c r="J13" s="49"/>
      <c r="K13" s="49"/>
      <c r="L13" s="39"/>
      <c r="M13" s="23">
        <f t="shared" si="0"/>
        <v>2493</v>
      </c>
      <c r="N13" s="20">
        <v>5</v>
      </c>
      <c r="O13" s="20">
        <v>3</v>
      </c>
      <c r="P13" s="20">
        <v>25</v>
      </c>
      <c r="Q13" s="20">
        <v>2</v>
      </c>
    </row>
    <row r="14" spans="1:17" s="25" customFormat="1" ht="15.75">
      <c r="A14" s="20" t="s">
        <v>11</v>
      </c>
      <c r="B14" s="20" t="s">
        <v>16</v>
      </c>
      <c r="C14" s="47"/>
      <c r="D14" s="73">
        <v>432</v>
      </c>
      <c r="E14" s="73">
        <v>427</v>
      </c>
      <c r="F14" s="49">
        <v>400</v>
      </c>
      <c r="G14" s="49">
        <v>413</v>
      </c>
      <c r="H14" s="49">
        <v>392</v>
      </c>
      <c r="I14" s="49">
        <v>399</v>
      </c>
      <c r="J14" s="49"/>
      <c r="K14" s="49"/>
      <c r="L14" s="39"/>
      <c r="M14" s="23">
        <f t="shared" si="0"/>
        <v>2463</v>
      </c>
      <c r="N14" s="20">
        <v>2</v>
      </c>
      <c r="O14" s="20">
        <v>6</v>
      </c>
      <c r="P14" s="20">
        <v>-28</v>
      </c>
      <c r="Q14" s="20">
        <v>0</v>
      </c>
    </row>
    <row r="15" spans="1:17" s="34" customFormat="1" ht="15.75">
      <c r="A15" s="29" t="s">
        <v>12</v>
      </c>
      <c r="B15" s="29" t="s">
        <v>30</v>
      </c>
      <c r="C15" s="52">
        <v>439</v>
      </c>
      <c r="D15" s="74">
        <v>461</v>
      </c>
      <c r="E15" s="74">
        <v>442</v>
      </c>
      <c r="F15" s="52">
        <v>436</v>
      </c>
      <c r="G15" s="52">
        <v>411</v>
      </c>
      <c r="H15" s="52"/>
      <c r="I15" s="105">
        <v>481</v>
      </c>
      <c r="J15" s="52"/>
      <c r="K15" s="52"/>
      <c r="L15" s="44"/>
      <c r="M15" s="32">
        <f t="shared" si="0"/>
        <v>2670</v>
      </c>
      <c r="N15" s="29">
        <v>5</v>
      </c>
      <c r="O15" s="29">
        <v>3</v>
      </c>
      <c r="P15" s="29">
        <v>29</v>
      </c>
      <c r="Q15" s="29">
        <v>2</v>
      </c>
    </row>
    <row r="16" spans="1:17" s="25" customFormat="1" ht="15.75">
      <c r="A16" s="20" t="s">
        <v>13</v>
      </c>
      <c r="B16" s="20" t="s">
        <v>19</v>
      </c>
      <c r="C16" s="77">
        <v>436</v>
      </c>
      <c r="D16" s="73">
        <v>448</v>
      </c>
      <c r="E16" s="73">
        <v>416</v>
      </c>
      <c r="F16" s="49">
        <v>414</v>
      </c>
      <c r="G16" s="49"/>
      <c r="H16" s="77">
        <v>436</v>
      </c>
      <c r="I16" s="77">
        <v>433</v>
      </c>
      <c r="J16" s="49"/>
      <c r="K16" s="49"/>
      <c r="L16" s="39"/>
      <c r="M16" s="32">
        <f t="shared" si="0"/>
        <v>2583</v>
      </c>
      <c r="N16" s="20">
        <v>7</v>
      </c>
      <c r="O16" s="20">
        <v>1</v>
      </c>
      <c r="P16" s="23">
        <f>M16-2380</f>
        <v>203</v>
      </c>
      <c r="Q16" s="20">
        <v>2</v>
      </c>
    </row>
    <row r="17" spans="1:17" s="34" customFormat="1" ht="15.75">
      <c r="A17" s="29" t="s">
        <v>14</v>
      </c>
      <c r="B17" s="29" t="s">
        <v>24</v>
      </c>
      <c r="C17" s="52"/>
      <c r="D17" s="74">
        <v>440</v>
      </c>
      <c r="E17" s="74">
        <v>448</v>
      </c>
      <c r="F17" s="105">
        <v>415</v>
      </c>
      <c r="G17" s="105">
        <v>410</v>
      </c>
      <c r="H17" s="52">
        <v>404</v>
      </c>
      <c r="I17" s="105">
        <v>431</v>
      </c>
      <c r="J17" s="52"/>
      <c r="K17" s="52"/>
      <c r="L17" s="44"/>
      <c r="M17" s="32">
        <f t="shared" si="0"/>
        <v>2548</v>
      </c>
      <c r="N17" s="29">
        <v>7</v>
      </c>
      <c r="O17" s="29">
        <v>1</v>
      </c>
      <c r="P17" s="29">
        <v>271</v>
      </c>
      <c r="Q17" s="29">
        <v>2</v>
      </c>
    </row>
    <row r="18" spans="1:17" s="25" customFormat="1" ht="15.75">
      <c r="A18" s="20" t="s">
        <v>234</v>
      </c>
      <c r="B18" s="20" t="s">
        <v>199</v>
      </c>
      <c r="C18" s="73">
        <v>428</v>
      </c>
      <c r="D18" s="73">
        <v>453</v>
      </c>
      <c r="E18" s="47">
        <v>395</v>
      </c>
      <c r="F18" s="77">
        <v>424</v>
      </c>
      <c r="G18" s="77">
        <v>461</v>
      </c>
      <c r="H18" s="49"/>
      <c r="I18" s="77">
        <v>413</v>
      </c>
      <c r="J18" s="49"/>
      <c r="K18" s="49"/>
      <c r="L18" s="39"/>
      <c r="M18" s="23">
        <f t="shared" si="0"/>
        <v>2574</v>
      </c>
      <c r="N18" s="20">
        <v>7</v>
      </c>
      <c r="O18" s="20">
        <v>1</v>
      </c>
      <c r="P18" s="20">
        <v>268</v>
      </c>
      <c r="Q18" s="20">
        <v>2</v>
      </c>
    </row>
    <row r="19" spans="1:17" s="64" customFormat="1" ht="16.5" thickBot="1">
      <c r="A19" s="63" t="s">
        <v>235</v>
      </c>
      <c r="B19" s="63" t="s">
        <v>23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121">
        <f t="shared" si="0"/>
        <v>0</v>
      </c>
      <c r="N19" s="67"/>
      <c r="O19" s="67"/>
      <c r="P19" s="67"/>
      <c r="Q19" s="67"/>
    </row>
    <row r="20" spans="3:12" ht="16.5" thickTop="1">
      <c r="C20" s="6">
        <f aca="true" t="shared" si="1" ref="C20:L20">SUM(C3:C19)</f>
        <v>4141</v>
      </c>
      <c r="D20" s="6">
        <f t="shared" si="1"/>
        <v>6934</v>
      </c>
      <c r="E20" s="6">
        <f t="shared" si="1"/>
        <v>6316</v>
      </c>
      <c r="F20" s="6">
        <f t="shared" si="1"/>
        <v>5801</v>
      </c>
      <c r="G20" s="6">
        <f t="shared" si="1"/>
        <v>4850</v>
      </c>
      <c r="H20" s="6">
        <f t="shared" si="1"/>
        <v>5336</v>
      </c>
      <c r="I20" s="6">
        <f t="shared" si="1"/>
        <v>6697</v>
      </c>
      <c r="J20" s="6">
        <f t="shared" si="1"/>
        <v>0</v>
      </c>
      <c r="K20" s="6">
        <f t="shared" si="1"/>
        <v>0</v>
      </c>
      <c r="L20" s="8">
        <f t="shared" si="1"/>
        <v>0</v>
      </c>
    </row>
    <row r="21" spans="2:19" ht="35.25" customHeight="1">
      <c r="B21" s="12" t="s">
        <v>152</v>
      </c>
      <c r="C21" s="17">
        <f>AVERAGE(C3:C18)</f>
        <v>414.1</v>
      </c>
      <c r="D21" s="17">
        <f aca="true" t="shared" si="2" ref="D21:I21">AVERAGE(D3:D18)</f>
        <v>433.375</v>
      </c>
      <c r="E21" s="17">
        <f t="shared" si="2"/>
        <v>421.06666666666666</v>
      </c>
      <c r="F21" s="17">
        <f t="shared" si="2"/>
        <v>414.35714285714283</v>
      </c>
      <c r="G21" s="17">
        <f t="shared" si="2"/>
        <v>404.1666666666667</v>
      </c>
      <c r="H21" s="17">
        <f t="shared" si="2"/>
        <v>410.46153846153845</v>
      </c>
      <c r="I21" s="17">
        <f t="shared" si="2"/>
        <v>418.5625</v>
      </c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40075</v>
      </c>
      <c r="N22" s="1">
        <f>SUM(N3:N19)</f>
        <v>69</v>
      </c>
      <c r="O22" s="1">
        <f>SUM(O3:O19)</f>
        <v>59</v>
      </c>
      <c r="P22" s="1">
        <f>SUM(P3:P19)</f>
        <v>1072</v>
      </c>
      <c r="Q22" s="1">
        <f>SUM(Q3:Q19)</f>
        <v>19</v>
      </c>
      <c r="S22" s="2">
        <f>N22-O22</f>
        <v>10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SUM(M3:M19)/16</f>
        <v>2504.6875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1:13" ht="15.75">
      <c r="A27" s="128" t="s">
        <v>169</v>
      </c>
      <c r="B27" s="129"/>
      <c r="C27" s="129" t="s">
        <v>173</v>
      </c>
      <c r="D27" s="129" t="s">
        <v>167</v>
      </c>
      <c r="E27" s="186" t="s">
        <v>168</v>
      </c>
      <c r="F27" s="186"/>
      <c r="I27" s="1">
        <f>N22+N48</f>
        <v>137</v>
      </c>
      <c r="J27" s="1">
        <f>O22+O48</f>
        <v>119</v>
      </c>
      <c r="K27" s="1">
        <f>Q22+Q48</f>
        <v>35</v>
      </c>
      <c r="L27" s="187">
        <f>I27-J27</f>
        <v>18</v>
      </c>
      <c r="M27" s="187"/>
    </row>
    <row r="28" ht="15.75">
      <c r="F28" s="57"/>
    </row>
    <row r="30" spans="2:17" ht="32.25" thickBot="1">
      <c r="B30" s="3" t="s">
        <v>29</v>
      </c>
      <c r="C30" s="9" t="s">
        <v>63</v>
      </c>
      <c r="D30" s="9" t="s">
        <v>64</v>
      </c>
      <c r="E30" s="9" t="s">
        <v>65</v>
      </c>
      <c r="F30" s="9" t="s">
        <v>66</v>
      </c>
      <c r="G30" s="9" t="s">
        <v>67</v>
      </c>
      <c r="H30" s="9" t="s">
        <v>68</v>
      </c>
      <c r="I30" s="9" t="s">
        <v>143</v>
      </c>
      <c r="J30" s="9"/>
      <c r="K30" s="9"/>
      <c r="L30" s="9"/>
      <c r="M30" s="3" t="s">
        <v>35</v>
      </c>
      <c r="N30" s="3" t="s">
        <v>22</v>
      </c>
      <c r="O30" s="3" t="s">
        <v>34</v>
      </c>
      <c r="P30" s="3" t="s">
        <v>36</v>
      </c>
      <c r="Q30" s="11" t="s">
        <v>134</v>
      </c>
    </row>
    <row r="31" spans="1:17" s="34" customFormat="1" ht="15.75">
      <c r="A31" s="29" t="s">
        <v>185</v>
      </c>
      <c r="B31" s="29" t="s">
        <v>21</v>
      </c>
      <c r="C31" s="87">
        <v>434</v>
      </c>
      <c r="D31" s="87">
        <v>429</v>
      </c>
      <c r="E31" s="35"/>
      <c r="F31" s="35">
        <v>397</v>
      </c>
      <c r="G31" s="35">
        <v>401</v>
      </c>
      <c r="H31" s="87">
        <v>415</v>
      </c>
      <c r="I31" s="35">
        <v>397</v>
      </c>
      <c r="J31" s="29"/>
      <c r="K31" s="29"/>
      <c r="L31" s="29"/>
      <c r="M31" s="29">
        <f>SUM(C31:I31)</f>
        <v>2473</v>
      </c>
      <c r="N31" s="29">
        <v>5</v>
      </c>
      <c r="O31" s="29">
        <v>3</v>
      </c>
      <c r="P31" s="29">
        <v>33</v>
      </c>
      <c r="Q31" s="29">
        <v>2</v>
      </c>
    </row>
    <row r="32" spans="1:17" s="25" customFormat="1" ht="15.75">
      <c r="A32" s="20" t="s">
        <v>186</v>
      </c>
      <c r="B32" s="20" t="s">
        <v>25</v>
      </c>
      <c r="C32" s="37">
        <v>413</v>
      </c>
      <c r="D32" s="37">
        <v>391</v>
      </c>
      <c r="E32" s="79">
        <v>454</v>
      </c>
      <c r="F32" s="79">
        <v>451</v>
      </c>
      <c r="G32" s="79">
        <v>445</v>
      </c>
      <c r="H32" s="37">
        <v>206</v>
      </c>
      <c r="I32" s="37">
        <v>216</v>
      </c>
      <c r="J32" s="20"/>
      <c r="K32" s="20"/>
      <c r="L32" s="20"/>
      <c r="M32" s="20">
        <f>SUM(C32:I32)</f>
        <v>2576</v>
      </c>
      <c r="N32" s="20">
        <v>3</v>
      </c>
      <c r="O32" s="20">
        <v>5</v>
      </c>
      <c r="P32" s="20">
        <v>-49</v>
      </c>
      <c r="Q32" s="20">
        <v>0</v>
      </c>
    </row>
    <row r="33" spans="1:17" s="34" customFormat="1" ht="15.75">
      <c r="A33" s="29" t="s">
        <v>187</v>
      </c>
      <c r="B33" s="29" t="s">
        <v>17</v>
      </c>
      <c r="C33" s="87">
        <v>419</v>
      </c>
      <c r="D33" s="35"/>
      <c r="E33" s="87">
        <v>431</v>
      </c>
      <c r="F33" s="35">
        <v>382</v>
      </c>
      <c r="G33" s="87">
        <v>442</v>
      </c>
      <c r="H33" s="87">
        <v>422</v>
      </c>
      <c r="I33" s="35">
        <v>393</v>
      </c>
      <c r="J33" s="29"/>
      <c r="K33" s="29"/>
      <c r="L33" s="29"/>
      <c r="M33" s="29">
        <f>SUM(C33:I33)</f>
        <v>2489</v>
      </c>
      <c r="N33" s="29">
        <v>4</v>
      </c>
      <c r="O33" s="29">
        <v>4</v>
      </c>
      <c r="P33" s="29">
        <f>M33-2510</f>
        <v>-21</v>
      </c>
      <c r="Q33" s="29">
        <v>1</v>
      </c>
    </row>
    <row r="34" spans="1:17" s="25" customFormat="1" ht="15.75">
      <c r="A34" s="20" t="s">
        <v>188</v>
      </c>
      <c r="B34" s="21" t="s">
        <v>15</v>
      </c>
      <c r="C34" s="79">
        <v>440</v>
      </c>
      <c r="D34" s="37">
        <v>390</v>
      </c>
      <c r="E34" s="79">
        <v>450</v>
      </c>
      <c r="F34" s="37"/>
      <c r="G34" s="37">
        <v>386</v>
      </c>
      <c r="H34" s="79">
        <v>425</v>
      </c>
      <c r="I34" s="37">
        <v>399</v>
      </c>
      <c r="J34" s="20"/>
      <c r="K34" s="20"/>
      <c r="L34" s="20"/>
      <c r="M34" s="20">
        <f>SUM(C34:I34)</f>
        <v>2490</v>
      </c>
      <c r="N34" s="20">
        <v>3</v>
      </c>
      <c r="O34" s="20">
        <v>5</v>
      </c>
      <c r="P34" s="20">
        <v>-44</v>
      </c>
      <c r="Q34" s="20">
        <v>0</v>
      </c>
    </row>
    <row r="35" spans="1:17" s="34" customFormat="1" ht="15.75">
      <c r="A35" s="29" t="s">
        <v>189</v>
      </c>
      <c r="B35" s="29" t="s">
        <v>27</v>
      </c>
      <c r="C35" s="35">
        <v>382</v>
      </c>
      <c r="D35" s="35">
        <v>404</v>
      </c>
      <c r="E35" s="87">
        <v>441</v>
      </c>
      <c r="F35" s="35">
        <v>403</v>
      </c>
      <c r="G35" s="35"/>
      <c r="H35" s="87">
        <v>429</v>
      </c>
      <c r="I35" s="35">
        <v>400</v>
      </c>
      <c r="J35" s="29"/>
      <c r="K35" s="29"/>
      <c r="L35" s="29"/>
      <c r="M35" s="29">
        <f aca="true" t="shared" si="3" ref="M35:M46">SUM(C35:I35)</f>
        <v>2459</v>
      </c>
      <c r="N35" s="29">
        <v>2</v>
      </c>
      <c r="O35" s="29">
        <v>6</v>
      </c>
      <c r="P35" s="29">
        <f>M35-2564</f>
        <v>-105</v>
      </c>
      <c r="Q35" s="29">
        <v>0</v>
      </c>
    </row>
    <row r="36" spans="1:17" s="25" customFormat="1" ht="15.75">
      <c r="A36" s="20" t="s">
        <v>190</v>
      </c>
      <c r="B36" s="20" t="s">
        <v>32</v>
      </c>
      <c r="C36" s="79">
        <v>446</v>
      </c>
      <c r="D36" s="79">
        <v>438</v>
      </c>
      <c r="E36" s="79">
        <v>425</v>
      </c>
      <c r="F36" s="37">
        <v>422</v>
      </c>
      <c r="G36" s="79">
        <v>450</v>
      </c>
      <c r="H36" s="37">
        <v>407</v>
      </c>
      <c r="I36" s="37"/>
      <c r="J36" s="20"/>
      <c r="K36" s="20"/>
      <c r="L36" s="20"/>
      <c r="M36" s="20">
        <f t="shared" si="3"/>
        <v>2588</v>
      </c>
      <c r="N36" s="20">
        <v>6</v>
      </c>
      <c r="O36" s="20">
        <v>2</v>
      </c>
      <c r="P36" s="20">
        <v>113</v>
      </c>
      <c r="Q36" s="20">
        <v>2</v>
      </c>
    </row>
    <row r="37" spans="1:17" s="34" customFormat="1" ht="15.75">
      <c r="A37" s="29" t="s">
        <v>191</v>
      </c>
      <c r="B37" s="29" t="s">
        <v>28</v>
      </c>
      <c r="C37" s="35">
        <v>430</v>
      </c>
      <c r="D37" s="35">
        <v>411</v>
      </c>
      <c r="E37" s="87">
        <v>441</v>
      </c>
      <c r="F37" s="87">
        <v>437</v>
      </c>
      <c r="G37" s="35">
        <v>391</v>
      </c>
      <c r="H37" s="35"/>
      <c r="I37" s="35">
        <v>401</v>
      </c>
      <c r="J37" s="29"/>
      <c r="K37" s="29"/>
      <c r="L37" s="29"/>
      <c r="M37" s="29">
        <f t="shared" si="3"/>
        <v>2511</v>
      </c>
      <c r="N37" s="29">
        <v>2</v>
      </c>
      <c r="O37" s="29">
        <v>6</v>
      </c>
      <c r="P37" s="29">
        <v>-114</v>
      </c>
      <c r="Q37" s="29">
        <v>0</v>
      </c>
    </row>
    <row r="38" spans="1:17" s="25" customFormat="1" ht="15.75">
      <c r="A38" s="20" t="s">
        <v>192</v>
      </c>
      <c r="B38" s="20" t="s">
        <v>198</v>
      </c>
      <c r="C38" s="79">
        <v>470</v>
      </c>
      <c r="D38" s="79">
        <v>432</v>
      </c>
      <c r="E38" s="79">
        <v>407</v>
      </c>
      <c r="F38" s="37">
        <v>401</v>
      </c>
      <c r="G38" s="37"/>
      <c r="H38" s="79">
        <v>420</v>
      </c>
      <c r="I38" s="79">
        <v>427</v>
      </c>
      <c r="J38" s="20"/>
      <c r="K38" s="20"/>
      <c r="L38" s="20"/>
      <c r="M38" s="20">
        <f t="shared" si="3"/>
        <v>2557</v>
      </c>
      <c r="N38" s="20">
        <v>7</v>
      </c>
      <c r="O38" s="20">
        <v>1</v>
      </c>
      <c r="P38" s="20">
        <v>159</v>
      </c>
      <c r="Q38" s="20">
        <v>2</v>
      </c>
    </row>
    <row r="39" spans="1:17" s="34" customFormat="1" ht="15.75">
      <c r="A39" s="29" t="s">
        <v>193</v>
      </c>
      <c r="B39" s="29" t="s">
        <v>18</v>
      </c>
      <c r="C39" s="35"/>
      <c r="D39" s="87">
        <v>450</v>
      </c>
      <c r="E39" s="87">
        <v>406</v>
      </c>
      <c r="F39" s="87">
        <v>417</v>
      </c>
      <c r="G39" s="35">
        <v>387</v>
      </c>
      <c r="H39" s="35">
        <v>378</v>
      </c>
      <c r="I39" s="87">
        <v>418</v>
      </c>
      <c r="J39" s="29"/>
      <c r="K39" s="29"/>
      <c r="L39" s="29"/>
      <c r="M39" s="29">
        <f t="shared" si="3"/>
        <v>2456</v>
      </c>
      <c r="N39" s="29">
        <v>6</v>
      </c>
      <c r="O39" s="29">
        <v>2</v>
      </c>
      <c r="P39" s="29">
        <v>26</v>
      </c>
      <c r="Q39" s="29">
        <v>2</v>
      </c>
    </row>
    <row r="40" spans="1:17" s="25" customFormat="1" ht="15.75">
      <c r="A40" s="20" t="s">
        <v>194</v>
      </c>
      <c r="B40" s="20" t="s">
        <v>26</v>
      </c>
      <c r="C40" s="20">
        <v>402</v>
      </c>
      <c r="D40" s="20">
        <v>390</v>
      </c>
      <c r="E40" s="20">
        <v>405</v>
      </c>
      <c r="F40" s="20">
        <v>397</v>
      </c>
      <c r="G40" s="79">
        <v>437</v>
      </c>
      <c r="H40" s="20"/>
      <c r="I40" s="20">
        <v>380</v>
      </c>
      <c r="J40" s="20"/>
      <c r="K40" s="20"/>
      <c r="L40" s="20"/>
      <c r="M40" s="20">
        <f t="shared" si="3"/>
        <v>2411</v>
      </c>
      <c r="N40" s="20">
        <v>1</v>
      </c>
      <c r="O40" s="20">
        <v>7</v>
      </c>
      <c r="P40" s="20">
        <v>-171</v>
      </c>
      <c r="Q40" s="20">
        <v>0</v>
      </c>
    </row>
    <row r="41" spans="1:17" s="34" customFormat="1" ht="15.75">
      <c r="A41" s="29" t="s">
        <v>195</v>
      </c>
      <c r="B41" s="29" t="s">
        <v>20</v>
      </c>
      <c r="C41" s="87">
        <v>426</v>
      </c>
      <c r="D41" s="87">
        <v>423</v>
      </c>
      <c r="E41" s="29">
        <v>415</v>
      </c>
      <c r="F41" s="29">
        <v>373</v>
      </c>
      <c r="G41" s="29">
        <v>387</v>
      </c>
      <c r="H41" s="29">
        <v>402</v>
      </c>
      <c r="I41" s="29"/>
      <c r="J41" s="29"/>
      <c r="K41" s="29"/>
      <c r="L41" s="29"/>
      <c r="M41" s="29">
        <f t="shared" si="3"/>
        <v>2426</v>
      </c>
      <c r="N41" s="29">
        <v>2</v>
      </c>
      <c r="O41" s="29">
        <v>6</v>
      </c>
      <c r="P41" s="29">
        <v>-119</v>
      </c>
      <c r="Q41" s="29">
        <v>0</v>
      </c>
    </row>
    <row r="42" spans="1:17" s="34" customFormat="1" ht="15.75">
      <c r="A42" s="29" t="s">
        <v>196</v>
      </c>
      <c r="B42" s="29" t="s">
        <v>16</v>
      </c>
      <c r="C42" s="87">
        <v>424</v>
      </c>
      <c r="D42" s="29">
        <v>420</v>
      </c>
      <c r="E42" s="29">
        <v>421</v>
      </c>
      <c r="F42" s="29"/>
      <c r="G42" s="29">
        <v>408</v>
      </c>
      <c r="H42" s="87">
        <v>442</v>
      </c>
      <c r="I42" s="29">
        <v>417</v>
      </c>
      <c r="J42" s="29"/>
      <c r="K42" s="29"/>
      <c r="L42" s="29"/>
      <c r="M42" s="29">
        <f t="shared" si="3"/>
        <v>2532</v>
      </c>
      <c r="N42" s="29">
        <v>3</v>
      </c>
      <c r="O42" s="29">
        <v>5</v>
      </c>
      <c r="P42" s="29">
        <v>0</v>
      </c>
      <c r="Q42" s="29">
        <v>0</v>
      </c>
    </row>
    <row r="43" spans="1:17" s="25" customFormat="1" ht="15.75">
      <c r="A43" s="20" t="s">
        <v>197</v>
      </c>
      <c r="B43" s="20" t="s">
        <v>30</v>
      </c>
      <c r="C43" s="79">
        <v>446</v>
      </c>
      <c r="D43" s="79">
        <v>448</v>
      </c>
      <c r="E43" s="20">
        <v>411</v>
      </c>
      <c r="F43" s="20">
        <v>412</v>
      </c>
      <c r="G43" s="20"/>
      <c r="H43" s="20">
        <v>410</v>
      </c>
      <c r="I43" s="20">
        <v>415</v>
      </c>
      <c r="J43" s="20"/>
      <c r="K43" s="20"/>
      <c r="L43" s="20"/>
      <c r="M43" s="20">
        <f t="shared" si="3"/>
        <v>2542</v>
      </c>
      <c r="N43" s="20">
        <v>4</v>
      </c>
      <c r="O43" s="20">
        <v>4</v>
      </c>
      <c r="P43" s="20">
        <v>6</v>
      </c>
      <c r="Q43" s="20">
        <v>1</v>
      </c>
    </row>
    <row r="44" spans="1:17" s="34" customFormat="1" ht="15.75">
      <c r="A44" s="29" t="s">
        <v>242</v>
      </c>
      <c r="B44" s="29" t="s">
        <v>19</v>
      </c>
      <c r="C44" s="87">
        <v>432</v>
      </c>
      <c r="D44" s="87">
        <v>424</v>
      </c>
      <c r="E44" s="87">
        <v>448</v>
      </c>
      <c r="F44" s="29">
        <v>388</v>
      </c>
      <c r="G44" s="87">
        <v>423</v>
      </c>
      <c r="H44" s="29"/>
      <c r="I44" s="87">
        <v>418</v>
      </c>
      <c r="J44" s="29"/>
      <c r="K44" s="29"/>
      <c r="L44" s="29"/>
      <c r="M44" s="29">
        <f t="shared" si="3"/>
        <v>2533</v>
      </c>
      <c r="N44" s="29">
        <v>7</v>
      </c>
      <c r="O44" s="29">
        <v>1</v>
      </c>
      <c r="P44" s="29">
        <v>117</v>
      </c>
      <c r="Q44" s="29">
        <v>2</v>
      </c>
    </row>
    <row r="45" spans="1:17" s="25" customFormat="1" ht="15.75">
      <c r="A45" s="20" t="s">
        <v>243</v>
      </c>
      <c r="B45" s="20" t="s">
        <v>24</v>
      </c>
      <c r="C45" s="79">
        <v>431</v>
      </c>
      <c r="D45" s="79">
        <v>455</v>
      </c>
      <c r="E45" s="79">
        <v>414</v>
      </c>
      <c r="F45" s="20"/>
      <c r="G45" s="79">
        <v>437</v>
      </c>
      <c r="H45" s="20">
        <v>378</v>
      </c>
      <c r="I45" s="79">
        <v>461</v>
      </c>
      <c r="J45" s="20"/>
      <c r="K45" s="20"/>
      <c r="L45" s="20"/>
      <c r="M45" s="20">
        <f t="shared" si="3"/>
        <v>2576</v>
      </c>
      <c r="N45" s="20">
        <v>7</v>
      </c>
      <c r="O45" s="20">
        <v>1</v>
      </c>
      <c r="P45" s="20">
        <f>M45-2383</f>
        <v>193</v>
      </c>
      <c r="Q45" s="20">
        <v>2</v>
      </c>
    </row>
    <row r="46" spans="1:17" s="34" customFormat="1" ht="15.75">
      <c r="A46" s="29" t="s">
        <v>244</v>
      </c>
      <c r="B46" s="29" t="s">
        <v>199</v>
      </c>
      <c r="C46" s="87">
        <v>407</v>
      </c>
      <c r="D46" s="87">
        <v>455</v>
      </c>
      <c r="E46" s="87">
        <v>438</v>
      </c>
      <c r="F46" s="29">
        <v>402</v>
      </c>
      <c r="G46" s="29">
        <v>393</v>
      </c>
      <c r="H46" s="29"/>
      <c r="I46" s="87">
        <v>440</v>
      </c>
      <c r="J46" s="29"/>
      <c r="K46" s="29"/>
      <c r="L46" s="29"/>
      <c r="M46" s="29">
        <f t="shared" si="3"/>
        <v>2535</v>
      </c>
      <c r="N46" s="29">
        <v>6</v>
      </c>
      <c r="O46" s="29">
        <v>2</v>
      </c>
      <c r="P46" s="29">
        <v>188</v>
      </c>
      <c r="Q46" s="29">
        <v>2</v>
      </c>
    </row>
    <row r="47" spans="1:17" s="64" customFormat="1" ht="16.5" thickBot="1">
      <c r="A47" s="63" t="s">
        <v>245</v>
      </c>
      <c r="B47" s="63" t="s">
        <v>23</v>
      </c>
      <c r="J47" s="63"/>
      <c r="K47" s="63"/>
      <c r="L47" s="63"/>
      <c r="M47" s="63"/>
      <c r="N47" s="67"/>
      <c r="O47" s="67"/>
      <c r="P47" s="67"/>
      <c r="Q47" s="67"/>
    </row>
    <row r="48" spans="3:17" ht="16.5" thickTop="1">
      <c r="C48" s="168">
        <f>SUM(C31:C46)</f>
        <v>6402</v>
      </c>
      <c r="D48" s="168">
        <f>SUM(D31:D46)</f>
        <v>6360</v>
      </c>
      <c r="E48" s="168">
        <f>SUM(E31:E46)</f>
        <v>6407</v>
      </c>
      <c r="F48" s="168">
        <f>SUM(F31:F46)</f>
        <v>5282</v>
      </c>
      <c r="G48" s="168">
        <f>SUM(G31:G46)</f>
        <v>5387</v>
      </c>
      <c r="H48" s="168">
        <f>SUM(H31:H46)</f>
        <v>4734</v>
      </c>
      <c r="I48" s="168">
        <f>SUM(I31:I46)</f>
        <v>5582</v>
      </c>
      <c r="N48" s="1">
        <f>SUM(N31:N47)</f>
        <v>68</v>
      </c>
      <c r="O48" s="1">
        <f>SUM(O31:O47)</f>
        <v>60</v>
      </c>
      <c r="P48" s="1">
        <f>SUM(P31:P47)</f>
        <v>212</v>
      </c>
      <c r="Q48" s="1">
        <f>SUM(Q31:Q47)</f>
        <v>16</v>
      </c>
    </row>
    <row r="49" spans="2:9" ht="15.75">
      <c r="B49" s="12" t="s">
        <v>152</v>
      </c>
      <c r="C49" s="17">
        <f>AVERAGE(C31:C46)</f>
        <v>426.8</v>
      </c>
      <c r="D49" s="17">
        <f>AVERAGE(D31:D46)</f>
        <v>424</v>
      </c>
      <c r="E49" s="17">
        <f>AVERAGE(E31:E46)</f>
        <v>427.1333333333333</v>
      </c>
      <c r="F49" s="17">
        <f>AVERAGE(F31:F46)</f>
        <v>406.3076923076923</v>
      </c>
      <c r="G49" s="17">
        <f>AVERAGE(G31:G46)</f>
        <v>414.38461538461536</v>
      </c>
      <c r="H49" s="17">
        <f>H48/11.5</f>
        <v>411.6521739130435</v>
      </c>
      <c r="I49" s="17">
        <f>I48/13.5</f>
        <v>413.48148148148147</v>
      </c>
    </row>
    <row r="50" spans="13:19" ht="31.5"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40154</v>
      </c>
      <c r="N51" s="6">
        <f>SUM(N31:N47)</f>
        <v>68</v>
      </c>
      <c r="O51" s="6">
        <f>SUM(O31:O47)</f>
        <v>60</v>
      </c>
      <c r="P51" s="6">
        <f>SUM(P31:P47)</f>
        <v>212</v>
      </c>
      <c r="Q51" s="6">
        <f>SUM(Q31:Q47)</f>
        <v>16</v>
      </c>
      <c r="S51" s="2">
        <f>N51-O51</f>
        <v>8</v>
      </c>
    </row>
    <row r="53" spans="13:14" ht="15.75">
      <c r="M53" s="1" t="s">
        <v>153</v>
      </c>
      <c r="N53" s="19">
        <f>SUM(M31:M46)/16</f>
        <v>2509.625</v>
      </c>
    </row>
  </sheetData>
  <mergeCells count="11">
    <mergeCell ref="C24:D24"/>
    <mergeCell ref="C25:D25"/>
    <mergeCell ref="C1:L1"/>
    <mergeCell ref="N1:O1"/>
    <mergeCell ref="C23:D23"/>
    <mergeCell ref="N21:O21"/>
    <mergeCell ref="N50:O50"/>
    <mergeCell ref="E27:F27"/>
    <mergeCell ref="I26:J26"/>
    <mergeCell ref="L26:M26"/>
    <mergeCell ref="L27:M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3"/>
  <sheetViews>
    <sheetView zoomScale="90" zoomScaleNormal="90" workbookViewId="0" topLeftCell="A24">
      <selection activeCell="R47" sqref="R47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0.00390625" style="1" customWidth="1"/>
    <col min="5" max="10" width="9.125" style="1" customWidth="1"/>
    <col min="11" max="11" width="11.25390625" style="1" customWidth="1"/>
    <col min="12" max="13" width="9.125" style="1" customWidth="1"/>
    <col min="14" max="14" width="16.253906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5.75390625" style="0" bestFit="1" customWidth="1"/>
  </cols>
  <sheetData>
    <row r="1" spans="3:21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O1" s="185" t="s">
        <v>33</v>
      </c>
      <c r="P1" s="185"/>
      <c r="S1" s="2"/>
      <c r="T1" s="2"/>
      <c r="U1" s="2"/>
    </row>
    <row r="2" spans="2:18" ht="32.25" thickBot="1">
      <c r="B2" s="3" t="s">
        <v>29</v>
      </c>
      <c r="C2" s="9" t="s">
        <v>97</v>
      </c>
      <c r="D2" s="9" t="s">
        <v>98</v>
      </c>
      <c r="E2" s="9" t="s">
        <v>99</v>
      </c>
      <c r="F2" s="9" t="s">
        <v>100</v>
      </c>
      <c r="G2" s="9" t="s">
        <v>101</v>
      </c>
      <c r="H2" s="9" t="s">
        <v>102</v>
      </c>
      <c r="I2" s="9" t="s">
        <v>142</v>
      </c>
      <c r="J2" s="13" t="s">
        <v>151</v>
      </c>
      <c r="K2" s="13" t="s">
        <v>163</v>
      </c>
      <c r="L2" s="9" t="s">
        <v>164</v>
      </c>
      <c r="M2" s="75"/>
      <c r="N2" s="3" t="s">
        <v>35</v>
      </c>
      <c r="O2" s="3" t="s">
        <v>20</v>
      </c>
      <c r="P2" s="3" t="s">
        <v>34</v>
      </c>
      <c r="Q2" s="3" t="s">
        <v>36</v>
      </c>
      <c r="R2" s="11" t="s">
        <v>134</v>
      </c>
    </row>
    <row r="3" spans="1:18" s="25" customFormat="1" ht="15.75">
      <c r="A3" s="20" t="s">
        <v>0</v>
      </c>
      <c r="B3" s="20" t="s">
        <v>25</v>
      </c>
      <c r="C3" s="47">
        <v>414</v>
      </c>
      <c r="D3" s="47">
        <v>394</v>
      </c>
      <c r="E3" s="47">
        <v>393</v>
      </c>
      <c r="F3" s="47"/>
      <c r="G3" s="73">
        <v>435</v>
      </c>
      <c r="H3" s="73">
        <v>437</v>
      </c>
      <c r="I3" s="47"/>
      <c r="J3" s="47"/>
      <c r="K3" s="47"/>
      <c r="L3" s="77">
        <v>417</v>
      </c>
      <c r="M3" s="76"/>
      <c r="N3" s="23">
        <f>SUM(C3:L3)</f>
        <v>2490</v>
      </c>
      <c r="O3" s="20">
        <v>3</v>
      </c>
      <c r="P3" s="20">
        <v>5</v>
      </c>
      <c r="Q3" s="23">
        <v>-61</v>
      </c>
      <c r="R3" s="20">
        <v>0</v>
      </c>
    </row>
    <row r="4" spans="1:18" s="34" customFormat="1" ht="15.75">
      <c r="A4" s="29" t="s">
        <v>1</v>
      </c>
      <c r="B4" s="29" t="s">
        <v>17</v>
      </c>
      <c r="C4" s="48">
        <v>400</v>
      </c>
      <c r="D4" s="48">
        <v>395</v>
      </c>
      <c r="E4" s="48">
        <v>389</v>
      </c>
      <c r="F4" s="48"/>
      <c r="G4" s="74">
        <v>428</v>
      </c>
      <c r="H4" s="74">
        <v>422</v>
      </c>
      <c r="I4" s="48"/>
      <c r="J4" s="48"/>
      <c r="K4" s="48"/>
      <c r="L4" s="74">
        <v>423</v>
      </c>
      <c r="M4" s="44"/>
      <c r="N4" s="32">
        <f aca="true" t="shared" si="0" ref="N4:N19">SUM(C4:M4)</f>
        <v>2457</v>
      </c>
      <c r="O4" s="29">
        <v>3</v>
      </c>
      <c r="P4" s="29">
        <v>5</v>
      </c>
      <c r="Q4" s="29">
        <v>-56</v>
      </c>
      <c r="R4" s="29">
        <v>0</v>
      </c>
    </row>
    <row r="5" spans="1:18" s="25" customFormat="1" ht="15.75">
      <c r="A5" s="20" t="s">
        <v>2</v>
      </c>
      <c r="B5" s="20" t="s">
        <v>15</v>
      </c>
      <c r="C5" s="73">
        <v>462</v>
      </c>
      <c r="D5" s="73">
        <v>429</v>
      </c>
      <c r="E5" s="47">
        <v>374</v>
      </c>
      <c r="F5" s="47"/>
      <c r="G5" s="73">
        <v>434</v>
      </c>
      <c r="H5" s="47">
        <v>407</v>
      </c>
      <c r="I5" s="47"/>
      <c r="J5" s="47"/>
      <c r="K5" s="70"/>
      <c r="L5" s="73">
        <v>430</v>
      </c>
      <c r="M5" s="39"/>
      <c r="N5" s="23">
        <f t="shared" si="0"/>
        <v>2536</v>
      </c>
      <c r="O5" s="20">
        <v>6</v>
      </c>
      <c r="P5" s="20">
        <v>2</v>
      </c>
      <c r="Q5" s="23">
        <v>48</v>
      </c>
      <c r="R5" s="20">
        <v>2</v>
      </c>
    </row>
    <row r="6" spans="1:18" s="34" customFormat="1" ht="15.75">
      <c r="A6" s="29" t="s">
        <v>3</v>
      </c>
      <c r="B6" s="29" t="s">
        <v>27</v>
      </c>
      <c r="C6" s="74">
        <v>435</v>
      </c>
      <c r="D6" s="74">
        <v>436</v>
      </c>
      <c r="E6" s="48"/>
      <c r="F6" s="74">
        <v>439</v>
      </c>
      <c r="G6" s="48">
        <v>398</v>
      </c>
      <c r="H6" s="48">
        <v>396</v>
      </c>
      <c r="I6" s="48"/>
      <c r="J6" s="48"/>
      <c r="K6" s="48"/>
      <c r="L6" s="74">
        <v>431</v>
      </c>
      <c r="M6" s="44"/>
      <c r="N6" s="32">
        <f t="shared" si="0"/>
        <v>2535</v>
      </c>
      <c r="O6" s="29">
        <v>6</v>
      </c>
      <c r="P6" s="29">
        <v>2</v>
      </c>
      <c r="Q6" s="29">
        <v>15</v>
      </c>
      <c r="R6" s="29">
        <v>2</v>
      </c>
    </row>
    <row r="7" spans="1:18" s="25" customFormat="1" ht="15.75">
      <c r="A7" s="20" t="s">
        <v>4</v>
      </c>
      <c r="B7" s="20" t="s">
        <v>32</v>
      </c>
      <c r="C7" s="73">
        <v>222</v>
      </c>
      <c r="D7" s="73">
        <v>449</v>
      </c>
      <c r="E7" s="47">
        <v>409</v>
      </c>
      <c r="F7" s="73">
        <v>422</v>
      </c>
      <c r="G7" s="73">
        <v>424</v>
      </c>
      <c r="H7" s="73">
        <v>201</v>
      </c>
      <c r="I7" s="47"/>
      <c r="J7" s="47"/>
      <c r="K7" s="47"/>
      <c r="L7" s="47">
        <v>407</v>
      </c>
      <c r="M7" s="39"/>
      <c r="N7" s="23">
        <f t="shared" si="0"/>
        <v>2534</v>
      </c>
      <c r="O7" s="20">
        <v>6</v>
      </c>
      <c r="P7" s="20">
        <v>2</v>
      </c>
      <c r="Q7" s="23">
        <v>145</v>
      </c>
      <c r="R7" s="20">
        <v>2</v>
      </c>
    </row>
    <row r="8" spans="1:18" s="34" customFormat="1" ht="15.75">
      <c r="A8" s="29" t="s">
        <v>5</v>
      </c>
      <c r="B8" s="29" t="s">
        <v>28</v>
      </c>
      <c r="C8" s="74">
        <v>430</v>
      </c>
      <c r="D8" s="74">
        <v>437</v>
      </c>
      <c r="E8" s="74">
        <v>460</v>
      </c>
      <c r="F8" s="48">
        <v>414</v>
      </c>
      <c r="G8" s="48"/>
      <c r="H8" s="48">
        <v>402</v>
      </c>
      <c r="I8" s="48"/>
      <c r="J8" s="48"/>
      <c r="K8" s="48"/>
      <c r="L8" s="74">
        <v>434</v>
      </c>
      <c r="M8" s="44"/>
      <c r="N8" s="32">
        <f t="shared" si="0"/>
        <v>2577</v>
      </c>
      <c r="O8" s="29">
        <v>6</v>
      </c>
      <c r="P8" s="29">
        <v>2</v>
      </c>
      <c r="Q8" s="29">
        <v>30</v>
      </c>
      <c r="R8" s="29">
        <v>2</v>
      </c>
    </row>
    <row r="9" spans="1:18" s="25" customFormat="1" ht="15.75">
      <c r="A9" s="20" t="s">
        <v>6</v>
      </c>
      <c r="B9" s="20" t="s">
        <v>198</v>
      </c>
      <c r="C9" s="73">
        <v>406</v>
      </c>
      <c r="D9" s="73">
        <v>438</v>
      </c>
      <c r="E9" s="73">
        <v>426</v>
      </c>
      <c r="F9" s="73">
        <v>424</v>
      </c>
      <c r="G9" s="73">
        <v>427</v>
      </c>
      <c r="H9" s="47">
        <v>397</v>
      </c>
      <c r="I9" s="47"/>
      <c r="J9" s="47"/>
      <c r="K9" s="47"/>
      <c r="L9" s="47"/>
      <c r="M9" s="39"/>
      <c r="N9" s="23">
        <f t="shared" si="0"/>
        <v>2518</v>
      </c>
      <c r="O9" s="20">
        <v>7</v>
      </c>
      <c r="P9" s="20">
        <v>1</v>
      </c>
      <c r="Q9" s="20">
        <v>163</v>
      </c>
      <c r="R9" s="20">
        <v>2</v>
      </c>
    </row>
    <row r="10" spans="1:18" s="34" customFormat="1" ht="15.75">
      <c r="A10" s="29" t="s">
        <v>7</v>
      </c>
      <c r="B10" s="29" t="s">
        <v>18</v>
      </c>
      <c r="C10" s="48">
        <v>410</v>
      </c>
      <c r="D10" s="48"/>
      <c r="E10" s="74">
        <v>440</v>
      </c>
      <c r="F10" s="48">
        <v>393</v>
      </c>
      <c r="G10" s="74">
        <v>412</v>
      </c>
      <c r="H10" s="74">
        <v>413</v>
      </c>
      <c r="I10" s="48"/>
      <c r="J10" s="48"/>
      <c r="K10" s="48"/>
      <c r="L10" s="74">
        <v>430</v>
      </c>
      <c r="M10" s="44"/>
      <c r="N10" s="32">
        <f t="shared" si="0"/>
        <v>2498</v>
      </c>
      <c r="O10" s="29">
        <v>6</v>
      </c>
      <c r="P10" s="29">
        <v>2</v>
      </c>
      <c r="Q10" s="32">
        <f>N10-2292</f>
        <v>206</v>
      </c>
      <c r="R10" s="29">
        <v>2</v>
      </c>
    </row>
    <row r="11" spans="1:18" s="25" customFormat="1" ht="15.75">
      <c r="A11" s="20" t="s">
        <v>8</v>
      </c>
      <c r="B11" s="20" t="s">
        <v>26</v>
      </c>
      <c r="C11" s="73">
        <v>436</v>
      </c>
      <c r="D11" s="73">
        <v>440</v>
      </c>
      <c r="E11" s="47">
        <v>395</v>
      </c>
      <c r="F11" s="47">
        <v>398</v>
      </c>
      <c r="G11" s="47">
        <v>421</v>
      </c>
      <c r="H11" s="47"/>
      <c r="I11" s="47"/>
      <c r="J11" s="47"/>
      <c r="K11" s="47"/>
      <c r="L11" s="73">
        <v>441</v>
      </c>
      <c r="M11" s="39"/>
      <c r="N11" s="23">
        <f t="shared" si="0"/>
        <v>2531</v>
      </c>
      <c r="O11" s="20">
        <v>3</v>
      </c>
      <c r="P11" s="20">
        <v>5</v>
      </c>
      <c r="Q11" s="20">
        <v>-35</v>
      </c>
      <c r="R11" s="20">
        <v>0</v>
      </c>
    </row>
    <row r="12" spans="1:18" s="25" customFormat="1" ht="15.75">
      <c r="A12" s="20" t="s">
        <v>9</v>
      </c>
      <c r="B12" s="20" t="s">
        <v>16</v>
      </c>
      <c r="C12" s="73">
        <v>459</v>
      </c>
      <c r="D12" s="47">
        <v>434</v>
      </c>
      <c r="E12" s="73">
        <v>458</v>
      </c>
      <c r="F12" s="47">
        <v>419</v>
      </c>
      <c r="G12" s="47">
        <v>424</v>
      </c>
      <c r="H12" s="47"/>
      <c r="I12" s="47"/>
      <c r="J12" s="47"/>
      <c r="K12" s="47"/>
      <c r="L12" s="47">
        <v>436</v>
      </c>
      <c r="M12" s="39"/>
      <c r="N12" s="23">
        <f t="shared" si="0"/>
        <v>2630</v>
      </c>
      <c r="O12" s="20">
        <v>4</v>
      </c>
      <c r="P12" s="20">
        <v>4</v>
      </c>
      <c r="Q12" s="23">
        <v>86</v>
      </c>
      <c r="R12" s="20">
        <v>1</v>
      </c>
    </row>
    <row r="13" spans="1:18" s="34" customFormat="1" ht="15.75">
      <c r="A13" s="29" t="s">
        <v>10</v>
      </c>
      <c r="B13" s="29" t="s">
        <v>22</v>
      </c>
      <c r="C13" s="48">
        <v>412</v>
      </c>
      <c r="D13" s="48">
        <v>391</v>
      </c>
      <c r="E13" s="74">
        <v>422</v>
      </c>
      <c r="F13" s="48"/>
      <c r="G13" s="74">
        <v>439</v>
      </c>
      <c r="H13" s="48">
        <v>387</v>
      </c>
      <c r="I13" s="48"/>
      <c r="J13" s="48"/>
      <c r="K13" s="48"/>
      <c r="L13" s="74">
        <v>417</v>
      </c>
      <c r="M13" s="44"/>
      <c r="N13" s="32">
        <f t="shared" si="0"/>
        <v>2468</v>
      </c>
      <c r="O13" s="32">
        <v>3</v>
      </c>
      <c r="P13" s="29">
        <v>5</v>
      </c>
      <c r="Q13" s="29">
        <v>-25</v>
      </c>
      <c r="R13" s="29">
        <v>0</v>
      </c>
    </row>
    <row r="14" spans="1:18" s="25" customFormat="1" ht="15.75">
      <c r="A14" s="20" t="s">
        <v>11</v>
      </c>
      <c r="B14" s="20" t="s">
        <v>30</v>
      </c>
      <c r="C14" s="73">
        <v>441</v>
      </c>
      <c r="D14" s="47">
        <v>436</v>
      </c>
      <c r="E14" s="73">
        <v>451</v>
      </c>
      <c r="F14" s="47">
        <v>415</v>
      </c>
      <c r="G14" s="73">
        <v>449</v>
      </c>
      <c r="H14" s="47"/>
      <c r="I14" s="47"/>
      <c r="J14" s="47"/>
      <c r="K14" s="47"/>
      <c r="L14" s="47">
        <v>435</v>
      </c>
      <c r="M14" s="39"/>
      <c r="N14" s="23">
        <f t="shared" si="0"/>
        <v>2627</v>
      </c>
      <c r="O14" s="20">
        <v>5</v>
      </c>
      <c r="P14" s="20">
        <v>3</v>
      </c>
      <c r="Q14" s="20">
        <v>23</v>
      </c>
      <c r="R14" s="20">
        <v>2</v>
      </c>
    </row>
    <row r="15" spans="1:18" s="34" customFormat="1" ht="15.75">
      <c r="A15" s="29" t="s">
        <v>12</v>
      </c>
      <c r="B15" s="29" t="s">
        <v>19</v>
      </c>
      <c r="C15" s="105">
        <v>411</v>
      </c>
      <c r="D15" s="48">
        <v>396</v>
      </c>
      <c r="E15" s="48">
        <v>376</v>
      </c>
      <c r="F15" s="105">
        <v>439</v>
      </c>
      <c r="G15" s="105">
        <v>435</v>
      </c>
      <c r="H15" s="52"/>
      <c r="I15" s="52"/>
      <c r="J15" s="52"/>
      <c r="K15" s="52"/>
      <c r="L15" s="105">
        <v>447</v>
      </c>
      <c r="M15" s="44"/>
      <c r="N15" s="32">
        <f t="shared" si="0"/>
        <v>2504</v>
      </c>
      <c r="O15" s="29">
        <v>6</v>
      </c>
      <c r="P15" s="29">
        <v>2</v>
      </c>
      <c r="Q15" s="29">
        <v>99</v>
      </c>
      <c r="R15" s="29">
        <v>2</v>
      </c>
    </row>
    <row r="16" spans="1:18" s="25" customFormat="1" ht="15.75">
      <c r="A16" s="20" t="s">
        <v>13</v>
      </c>
      <c r="B16" s="20" t="s">
        <v>24</v>
      </c>
      <c r="C16" s="49"/>
      <c r="D16" s="73">
        <v>459</v>
      </c>
      <c r="E16" s="73">
        <v>441</v>
      </c>
      <c r="F16" s="77">
        <v>428</v>
      </c>
      <c r="G16" s="77">
        <v>436</v>
      </c>
      <c r="H16" s="49">
        <v>400</v>
      </c>
      <c r="I16" s="49"/>
      <c r="J16" s="49"/>
      <c r="K16" s="49"/>
      <c r="L16" s="77">
        <v>447</v>
      </c>
      <c r="M16" s="39"/>
      <c r="N16" s="32">
        <f t="shared" si="0"/>
        <v>2611</v>
      </c>
      <c r="O16" s="20">
        <v>7</v>
      </c>
      <c r="P16" s="20">
        <v>1</v>
      </c>
      <c r="Q16" s="20">
        <v>390</v>
      </c>
      <c r="R16" s="20">
        <v>2</v>
      </c>
    </row>
    <row r="17" spans="1:18" s="34" customFormat="1" ht="15.75">
      <c r="A17" s="29" t="s">
        <v>14</v>
      </c>
      <c r="B17" s="29" t="s">
        <v>199</v>
      </c>
      <c r="C17" s="105">
        <v>447</v>
      </c>
      <c r="D17" s="48"/>
      <c r="E17" s="74">
        <v>424</v>
      </c>
      <c r="F17" s="105">
        <v>432</v>
      </c>
      <c r="G17" s="105">
        <v>407</v>
      </c>
      <c r="H17" s="52">
        <v>395</v>
      </c>
      <c r="I17" s="52"/>
      <c r="J17" s="52"/>
      <c r="K17" s="52"/>
      <c r="L17" s="105">
        <v>432</v>
      </c>
      <c r="M17" s="44"/>
      <c r="N17" s="32">
        <f t="shared" si="0"/>
        <v>2537</v>
      </c>
      <c r="O17" s="29">
        <v>7</v>
      </c>
      <c r="P17" s="29">
        <v>1</v>
      </c>
      <c r="Q17" s="29">
        <v>259</v>
      </c>
      <c r="R17" s="29">
        <v>2</v>
      </c>
    </row>
    <row r="18" spans="1:18" s="64" customFormat="1" ht="15.75">
      <c r="A18" s="63" t="s">
        <v>234</v>
      </c>
      <c r="B18" s="122" t="s">
        <v>23</v>
      </c>
      <c r="C18" s="82"/>
      <c r="D18" s="81"/>
      <c r="E18" s="81"/>
      <c r="F18" s="82"/>
      <c r="G18" s="82"/>
      <c r="H18" s="82"/>
      <c r="I18" s="82"/>
      <c r="J18" s="82"/>
      <c r="K18" s="82"/>
      <c r="L18" s="82"/>
      <c r="M18" s="83"/>
      <c r="N18" s="71">
        <f t="shared" si="0"/>
        <v>0</v>
      </c>
      <c r="O18" s="63"/>
      <c r="P18" s="63"/>
      <c r="Q18" s="63"/>
      <c r="R18" s="63"/>
    </row>
    <row r="19" spans="1:18" s="34" customFormat="1" ht="16.5" thickBot="1">
      <c r="A19" s="29" t="s">
        <v>235</v>
      </c>
      <c r="B19" s="29" t="s">
        <v>21</v>
      </c>
      <c r="C19" s="135">
        <v>424</v>
      </c>
      <c r="D19" s="50">
        <v>385</v>
      </c>
      <c r="E19" s="50"/>
      <c r="F19" s="50">
        <v>394</v>
      </c>
      <c r="G19" s="135">
        <v>409</v>
      </c>
      <c r="H19" s="50">
        <v>382</v>
      </c>
      <c r="I19" s="50"/>
      <c r="J19" s="50"/>
      <c r="K19" s="50"/>
      <c r="L19" s="135">
        <v>455</v>
      </c>
      <c r="M19" s="41"/>
      <c r="N19" s="42">
        <f t="shared" si="0"/>
        <v>2449</v>
      </c>
      <c r="O19" s="43">
        <v>5</v>
      </c>
      <c r="P19" s="43">
        <v>3</v>
      </c>
      <c r="Q19" s="46">
        <f>N19-2424</f>
        <v>25</v>
      </c>
      <c r="R19" s="43">
        <v>2</v>
      </c>
    </row>
    <row r="20" spans="3:13" ht="16.5" thickTop="1">
      <c r="C20" s="6">
        <f>SUM(C3:C19)</f>
        <v>6209</v>
      </c>
      <c r="D20" s="6">
        <f aca="true" t="shared" si="1" ref="D20:M20">SUM(D3:D19)</f>
        <v>5919</v>
      </c>
      <c r="E20" s="6">
        <f t="shared" si="1"/>
        <v>5858</v>
      </c>
      <c r="F20" s="6">
        <f t="shared" si="1"/>
        <v>5017</v>
      </c>
      <c r="G20" s="6">
        <f t="shared" si="1"/>
        <v>6378</v>
      </c>
      <c r="H20" s="6">
        <f t="shared" si="1"/>
        <v>4639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>SUM(L3:L19)</f>
        <v>6482</v>
      </c>
      <c r="M20" s="6">
        <f t="shared" si="1"/>
        <v>0</v>
      </c>
    </row>
    <row r="21" spans="2:20" ht="33.75" customHeight="1">
      <c r="B21" s="12" t="s">
        <v>152</v>
      </c>
      <c r="C21" s="17">
        <f>C20/14.5</f>
        <v>428.2068965517241</v>
      </c>
      <c r="D21" s="17">
        <f aca="true" t="shared" si="2" ref="D21:L21">AVERAGE(D3:D19)</f>
        <v>422.7857142857143</v>
      </c>
      <c r="E21" s="17">
        <f t="shared" si="2"/>
        <v>418.42857142857144</v>
      </c>
      <c r="F21" s="17">
        <f t="shared" si="2"/>
        <v>418.0833333333333</v>
      </c>
      <c r="G21" s="17">
        <f t="shared" si="2"/>
        <v>425.2</v>
      </c>
      <c r="H21" s="17">
        <f>H20/11.5</f>
        <v>403.39130434782606</v>
      </c>
      <c r="I21" s="17"/>
      <c r="J21" s="17"/>
      <c r="K21" s="17"/>
      <c r="L21" s="17">
        <f t="shared" si="2"/>
        <v>432.1333333333333</v>
      </c>
      <c r="M21" s="17"/>
      <c r="N21" s="3" t="s">
        <v>35</v>
      </c>
      <c r="O21" s="185" t="s">
        <v>135</v>
      </c>
      <c r="P21" s="185"/>
      <c r="Q21" s="3" t="s">
        <v>36</v>
      </c>
      <c r="R21" s="11" t="s">
        <v>136</v>
      </c>
      <c r="T21" s="14" t="s">
        <v>150</v>
      </c>
    </row>
    <row r="22" spans="14:20" ht="15.75">
      <c r="N22" s="6">
        <f>SUM(N3:N19)</f>
        <v>40502</v>
      </c>
      <c r="O22" s="1">
        <f>SUM(O3:O19)</f>
        <v>83</v>
      </c>
      <c r="P22" s="1">
        <f>SUM(P3:P19)</f>
        <v>45</v>
      </c>
      <c r="Q22" s="1">
        <f>SUM(Q3:Q19)</f>
        <v>1312</v>
      </c>
      <c r="R22" s="1">
        <f>SUM(R3:R19)</f>
        <v>23</v>
      </c>
      <c r="T22" s="2">
        <f>O22-P22</f>
        <v>38</v>
      </c>
    </row>
    <row r="23" ht="16.5">
      <c r="G23" s="15"/>
    </row>
    <row r="24" spans="3:15" ht="15.75">
      <c r="C24" s="190" t="s">
        <v>48</v>
      </c>
      <c r="D24" s="190"/>
      <c r="N24" s="1" t="s">
        <v>153</v>
      </c>
      <c r="O24" s="19">
        <f>SUM(N3:N19)/16</f>
        <v>2531.375</v>
      </c>
    </row>
    <row r="25" spans="3:4" ht="15.75">
      <c r="C25" s="188" t="s">
        <v>157</v>
      </c>
      <c r="D25" s="188"/>
    </row>
    <row r="26" spans="3:13" ht="15.75">
      <c r="C26" s="189" t="s">
        <v>158</v>
      </c>
      <c r="D26" s="189"/>
      <c r="I26" s="184" t="s">
        <v>183</v>
      </c>
      <c r="J26" s="184"/>
      <c r="K26" s="12" t="s">
        <v>184</v>
      </c>
      <c r="L26" s="191" t="s">
        <v>150</v>
      </c>
      <c r="M26" s="191"/>
    </row>
    <row r="27" spans="9:13" ht="15.75">
      <c r="I27" s="1">
        <f>O22+O48</f>
        <v>151</v>
      </c>
      <c r="J27" s="1">
        <f>P22+P48</f>
        <v>105</v>
      </c>
      <c r="K27" s="1">
        <f>R22+R48</f>
        <v>38</v>
      </c>
      <c r="L27" s="187">
        <f>I27-J27</f>
        <v>46</v>
      </c>
      <c r="M27" s="187"/>
    </row>
    <row r="28" spans="2:7" ht="15.75">
      <c r="B28" s="128" t="s">
        <v>169</v>
      </c>
      <c r="C28" s="129"/>
      <c r="D28" s="129" t="s">
        <v>173</v>
      </c>
      <c r="E28" s="129" t="s">
        <v>170</v>
      </c>
      <c r="F28" s="186" t="s">
        <v>172</v>
      </c>
      <c r="G28" s="186"/>
    </row>
    <row r="30" spans="2:18" ht="32.25" thickBot="1">
      <c r="B30" s="3" t="s">
        <v>29</v>
      </c>
      <c r="C30" s="9" t="s">
        <v>97</v>
      </c>
      <c r="D30" s="9" t="s">
        <v>98</v>
      </c>
      <c r="E30" s="9" t="s">
        <v>99</v>
      </c>
      <c r="F30" s="9" t="s">
        <v>100</v>
      </c>
      <c r="G30" s="9" t="s">
        <v>101</v>
      </c>
      <c r="H30" s="9" t="s">
        <v>102</v>
      </c>
      <c r="I30" s="9" t="s">
        <v>142</v>
      </c>
      <c r="J30" s="13" t="s">
        <v>151</v>
      </c>
      <c r="K30" s="13" t="s">
        <v>163</v>
      </c>
      <c r="L30" s="9" t="s">
        <v>164</v>
      </c>
      <c r="M30" s="9"/>
      <c r="N30" s="3" t="s">
        <v>35</v>
      </c>
      <c r="O30" s="3" t="s">
        <v>20</v>
      </c>
      <c r="P30" s="3" t="s">
        <v>34</v>
      </c>
      <c r="Q30" s="3" t="s">
        <v>36</v>
      </c>
      <c r="R30" s="11" t="s">
        <v>134</v>
      </c>
    </row>
    <row r="31" spans="1:18" s="34" customFormat="1" ht="15.75">
      <c r="A31" s="29" t="s">
        <v>185</v>
      </c>
      <c r="B31" s="29" t="s">
        <v>25</v>
      </c>
      <c r="C31" s="74">
        <v>435</v>
      </c>
      <c r="D31" s="48">
        <v>411</v>
      </c>
      <c r="E31" s="48">
        <v>396</v>
      </c>
      <c r="F31" s="48"/>
      <c r="G31" s="74">
        <v>421</v>
      </c>
      <c r="H31" s="48">
        <v>383</v>
      </c>
      <c r="I31" s="48"/>
      <c r="J31" s="48"/>
      <c r="K31" s="48"/>
      <c r="L31" s="74">
        <v>441</v>
      </c>
      <c r="M31" s="35"/>
      <c r="N31" s="29">
        <f>SUM(C31:M31)</f>
        <v>2487</v>
      </c>
      <c r="O31" s="29">
        <v>3</v>
      </c>
      <c r="P31" s="29">
        <v>5</v>
      </c>
      <c r="Q31" s="29">
        <v>-75</v>
      </c>
      <c r="R31" s="29">
        <v>0</v>
      </c>
    </row>
    <row r="32" spans="1:18" s="25" customFormat="1" ht="15.75">
      <c r="A32" s="20" t="s">
        <v>186</v>
      </c>
      <c r="B32" s="20" t="s">
        <v>17</v>
      </c>
      <c r="C32" s="73">
        <v>454</v>
      </c>
      <c r="D32" s="73">
        <v>460</v>
      </c>
      <c r="E32" s="47">
        <v>434</v>
      </c>
      <c r="F32" s="73">
        <v>444</v>
      </c>
      <c r="G32" s="73">
        <v>453</v>
      </c>
      <c r="H32" s="47"/>
      <c r="I32" s="47"/>
      <c r="J32" s="47"/>
      <c r="K32" s="47"/>
      <c r="L32" s="73">
        <v>474</v>
      </c>
      <c r="M32" s="37"/>
      <c r="N32" s="20">
        <f>SUM(C32:M32)</f>
        <v>2719</v>
      </c>
      <c r="O32" s="20">
        <v>7</v>
      </c>
      <c r="P32" s="20">
        <v>1</v>
      </c>
      <c r="Q32" s="20">
        <f>N32-2590</f>
        <v>129</v>
      </c>
      <c r="R32" s="20">
        <v>2</v>
      </c>
    </row>
    <row r="33" spans="1:18" s="34" customFormat="1" ht="15.75">
      <c r="A33" s="29" t="s">
        <v>187</v>
      </c>
      <c r="B33" s="29" t="s">
        <v>15</v>
      </c>
      <c r="C33" s="74">
        <v>441</v>
      </c>
      <c r="D33" s="48">
        <v>178</v>
      </c>
      <c r="E33" s="48">
        <v>410</v>
      </c>
      <c r="F33" s="48">
        <v>416</v>
      </c>
      <c r="G33" s="74">
        <v>441</v>
      </c>
      <c r="H33" s="48">
        <v>191</v>
      </c>
      <c r="I33" s="48"/>
      <c r="J33" s="48"/>
      <c r="K33" s="48"/>
      <c r="L33" s="74">
        <v>465</v>
      </c>
      <c r="M33" s="35"/>
      <c r="N33" s="29">
        <f>SUM(C33:M33)</f>
        <v>2542</v>
      </c>
      <c r="O33" s="29">
        <v>3</v>
      </c>
      <c r="P33" s="29">
        <v>5</v>
      </c>
      <c r="Q33" s="29">
        <f>N33-2655</f>
        <v>-113</v>
      </c>
      <c r="R33" s="29">
        <v>0</v>
      </c>
    </row>
    <row r="34" spans="1:18" s="25" customFormat="1" ht="15.75">
      <c r="A34" s="20" t="s">
        <v>188</v>
      </c>
      <c r="B34" s="20" t="s">
        <v>27</v>
      </c>
      <c r="C34" s="74">
        <v>445</v>
      </c>
      <c r="D34" s="48">
        <v>398</v>
      </c>
      <c r="E34" s="48">
        <v>435</v>
      </c>
      <c r="F34" s="48">
        <v>398</v>
      </c>
      <c r="G34" s="74">
        <v>445</v>
      </c>
      <c r="H34" s="48"/>
      <c r="I34" s="48"/>
      <c r="J34" s="48"/>
      <c r="K34" s="48"/>
      <c r="L34" s="74">
        <v>449</v>
      </c>
      <c r="M34" s="37"/>
      <c r="N34" s="20">
        <f>SUM(C34:M34)</f>
        <v>2570</v>
      </c>
      <c r="O34" s="20">
        <v>3</v>
      </c>
      <c r="P34" s="20">
        <v>5</v>
      </c>
      <c r="Q34" s="20">
        <v>-34</v>
      </c>
      <c r="R34" s="20">
        <v>0</v>
      </c>
    </row>
    <row r="35" spans="1:18" s="34" customFormat="1" ht="15.75">
      <c r="A35" s="29" t="s">
        <v>189</v>
      </c>
      <c r="B35" s="29" t="s">
        <v>32</v>
      </c>
      <c r="C35" s="127"/>
      <c r="D35" s="127">
        <v>385</v>
      </c>
      <c r="E35" s="127">
        <v>382</v>
      </c>
      <c r="F35" s="127">
        <v>408</v>
      </c>
      <c r="G35" s="74">
        <v>434</v>
      </c>
      <c r="H35" s="127">
        <v>409</v>
      </c>
      <c r="I35" s="127"/>
      <c r="J35" s="127"/>
      <c r="K35" s="127"/>
      <c r="L35" s="74">
        <v>441</v>
      </c>
      <c r="M35" s="35"/>
      <c r="N35" s="29">
        <f>SUM(C35:M35)</f>
        <v>2459</v>
      </c>
      <c r="O35" s="29">
        <v>4</v>
      </c>
      <c r="P35" s="29">
        <v>4</v>
      </c>
      <c r="Q35" s="29">
        <v>4</v>
      </c>
      <c r="R35" s="29">
        <v>1</v>
      </c>
    </row>
    <row r="36" spans="1:18" s="25" customFormat="1" ht="15.75">
      <c r="A36" s="20" t="s">
        <v>190</v>
      </c>
      <c r="B36" s="20" t="s">
        <v>28</v>
      </c>
      <c r="C36" s="73">
        <v>437</v>
      </c>
      <c r="D36" s="47"/>
      <c r="E36" s="47">
        <v>392</v>
      </c>
      <c r="F36" s="47">
        <v>423</v>
      </c>
      <c r="G36" s="73">
        <v>429</v>
      </c>
      <c r="H36" s="73">
        <v>447</v>
      </c>
      <c r="I36" s="47"/>
      <c r="J36" s="47"/>
      <c r="K36" s="47"/>
      <c r="L36" s="47">
        <v>417</v>
      </c>
      <c r="M36" s="37"/>
      <c r="N36" s="20">
        <f aca="true" t="shared" si="3" ref="N36:N46">SUM(C36:M36)</f>
        <v>2545</v>
      </c>
      <c r="O36" s="20">
        <v>5</v>
      </c>
      <c r="P36" s="20">
        <v>3</v>
      </c>
      <c r="Q36" s="20">
        <f>N36-2518</f>
        <v>27</v>
      </c>
      <c r="R36" s="20">
        <v>2</v>
      </c>
    </row>
    <row r="37" spans="1:18" s="34" customFormat="1" ht="15.75">
      <c r="A37" s="29" t="s">
        <v>191</v>
      </c>
      <c r="B37" s="29" t="s">
        <v>198</v>
      </c>
      <c r="C37" s="74">
        <v>431</v>
      </c>
      <c r="D37" s="74">
        <v>419</v>
      </c>
      <c r="E37" s="48"/>
      <c r="F37" s="48">
        <v>402</v>
      </c>
      <c r="G37" s="74">
        <v>413</v>
      </c>
      <c r="H37" s="48">
        <v>375</v>
      </c>
      <c r="I37" s="48"/>
      <c r="J37" s="48"/>
      <c r="K37" s="48"/>
      <c r="L37" s="74">
        <v>478</v>
      </c>
      <c r="M37" s="35"/>
      <c r="N37" s="29">
        <f t="shared" si="3"/>
        <v>2518</v>
      </c>
      <c r="O37" s="29">
        <v>6</v>
      </c>
      <c r="P37" s="29">
        <v>2</v>
      </c>
      <c r="Q37" s="29">
        <v>178</v>
      </c>
      <c r="R37" s="29">
        <v>2</v>
      </c>
    </row>
    <row r="38" spans="1:18" s="25" customFormat="1" ht="15.75">
      <c r="A38" s="20" t="s">
        <v>192</v>
      </c>
      <c r="B38" s="20" t="s">
        <v>18</v>
      </c>
      <c r="C38" s="47"/>
      <c r="D38" s="47">
        <v>382</v>
      </c>
      <c r="E38" s="47">
        <v>365</v>
      </c>
      <c r="F38" s="73">
        <v>433</v>
      </c>
      <c r="G38" s="73">
        <v>424</v>
      </c>
      <c r="H38" s="47">
        <v>387</v>
      </c>
      <c r="I38" s="47"/>
      <c r="J38" s="47"/>
      <c r="K38" s="47"/>
      <c r="L38" s="73">
        <v>421</v>
      </c>
      <c r="M38" s="37"/>
      <c r="N38" s="20">
        <f t="shared" si="3"/>
        <v>2412</v>
      </c>
      <c r="O38" s="20">
        <v>3</v>
      </c>
      <c r="P38" s="20">
        <v>5</v>
      </c>
      <c r="Q38" s="20">
        <v>-131</v>
      </c>
      <c r="R38" s="20">
        <v>0</v>
      </c>
    </row>
    <row r="39" spans="1:18" s="34" customFormat="1" ht="15.75">
      <c r="A39" s="29" t="s">
        <v>193</v>
      </c>
      <c r="B39" s="29" t="s">
        <v>26</v>
      </c>
      <c r="C39" s="48">
        <v>414</v>
      </c>
      <c r="D39" s="74">
        <v>431</v>
      </c>
      <c r="E39" s="48"/>
      <c r="F39" s="48">
        <v>394</v>
      </c>
      <c r="G39" s="74">
        <v>433</v>
      </c>
      <c r="H39" s="48"/>
      <c r="I39" s="48"/>
      <c r="J39" s="48"/>
      <c r="K39" s="48">
        <v>280</v>
      </c>
      <c r="L39" s="74">
        <v>421</v>
      </c>
      <c r="M39" s="35"/>
      <c r="N39" s="29">
        <f t="shared" si="3"/>
        <v>2373</v>
      </c>
      <c r="O39" s="29">
        <v>3</v>
      </c>
      <c r="P39" s="29">
        <v>5</v>
      </c>
      <c r="Q39" s="29">
        <v>-121</v>
      </c>
      <c r="R39" s="29">
        <v>0</v>
      </c>
    </row>
    <row r="40" spans="1:18" s="34" customFormat="1" ht="15.75">
      <c r="A40" s="29" t="s">
        <v>194</v>
      </c>
      <c r="B40" s="29" t="s">
        <v>16</v>
      </c>
      <c r="C40" s="74">
        <v>464</v>
      </c>
      <c r="D40" s="74">
        <v>445</v>
      </c>
      <c r="E40" s="48"/>
      <c r="F40" s="48"/>
      <c r="G40" s="74">
        <v>435</v>
      </c>
      <c r="H40" s="48">
        <v>414</v>
      </c>
      <c r="I40" s="48"/>
      <c r="J40" s="48"/>
      <c r="K40" s="48">
        <v>298</v>
      </c>
      <c r="L40" s="48">
        <v>426</v>
      </c>
      <c r="M40" s="35"/>
      <c r="N40" s="29">
        <f t="shared" si="3"/>
        <v>2482</v>
      </c>
      <c r="O40" s="29">
        <v>3</v>
      </c>
      <c r="P40" s="29">
        <v>5</v>
      </c>
      <c r="Q40" s="29">
        <v>-66</v>
      </c>
      <c r="R40" s="29">
        <v>0</v>
      </c>
    </row>
    <row r="41" spans="1:18" s="25" customFormat="1" ht="15.75">
      <c r="A41" s="20" t="s">
        <v>195</v>
      </c>
      <c r="B41" s="20" t="s">
        <v>22</v>
      </c>
      <c r="C41" s="73">
        <v>427</v>
      </c>
      <c r="D41" s="73">
        <v>424</v>
      </c>
      <c r="E41" s="84">
        <v>415</v>
      </c>
      <c r="F41" s="84"/>
      <c r="G41" s="73">
        <v>453</v>
      </c>
      <c r="H41" s="73">
        <v>419</v>
      </c>
      <c r="I41" s="84"/>
      <c r="J41" s="84"/>
      <c r="K41" s="84"/>
      <c r="L41" s="84">
        <v>407</v>
      </c>
      <c r="M41" s="20"/>
      <c r="N41" s="20">
        <f t="shared" si="3"/>
        <v>2545</v>
      </c>
      <c r="O41" s="20">
        <v>6</v>
      </c>
      <c r="P41" s="20">
        <v>2</v>
      </c>
      <c r="Q41" s="20">
        <f>N41-2426</f>
        <v>119</v>
      </c>
      <c r="R41" s="20">
        <v>2</v>
      </c>
    </row>
    <row r="42" spans="1:18" s="34" customFormat="1" ht="15.75">
      <c r="A42" s="29" t="s">
        <v>196</v>
      </c>
      <c r="B42" s="29" t="s">
        <v>30</v>
      </c>
      <c r="C42" s="74">
        <v>430</v>
      </c>
      <c r="D42" s="127">
        <v>391</v>
      </c>
      <c r="E42" s="127"/>
      <c r="F42" s="127">
        <v>400</v>
      </c>
      <c r="G42" s="74">
        <v>415</v>
      </c>
      <c r="H42" s="127">
        <v>378</v>
      </c>
      <c r="I42" s="127"/>
      <c r="J42" s="127"/>
      <c r="K42" s="127"/>
      <c r="L42" s="74">
        <v>440</v>
      </c>
      <c r="M42" s="29"/>
      <c r="N42" s="29">
        <f t="shared" si="3"/>
        <v>2454</v>
      </c>
      <c r="O42" s="29">
        <v>3</v>
      </c>
      <c r="P42" s="29">
        <v>5</v>
      </c>
      <c r="Q42" s="29">
        <f>N42-2535</f>
        <v>-81</v>
      </c>
      <c r="R42" s="29">
        <v>0</v>
      </c>
    </row>
    <row r="43" spans="1:18" s="25" customFormat="1" ht="15.75">
      <c r="A43" s="20" t="s">
        <v>197</v>
      </c>
      <c r="B43" s="20" t="s">
        <v>19</v>
      </c>
      <c r="C43" s="73">
        <v>444</v>
      </c>
      <c r="D43" s="84">
        <v>412</v>
      </c>
      <c r="E43" s="84"/>
      <c r="F43" s="73">
        <v>414</v>
      </c>
      <c r="G43" s="73">
        <v>460</v>
      </c>
      <c r="H43" s="84">
        <v>399</v>
      </c>
      <c r="I43" s="84"/>
      <c r="J43" s="84"/>
      <c r="K43" s="84"/>
      <c r="L43" s="73">
        <v>442</v>
      </c>
      <c r="M43" s="20"/>
      <c r="N43" s="20">
        <f t="shared" si="3"/>
        <v>2571</v>
      </c>
      <c r="O43" s="20">
        <v>6</v>
      </c>
      <c r="P43" s="20">
        <v>2</v>
      </c>
      <c r="Q43" s="20">
        <v>266</v>
      </c>
      <c r="R43" s="20">
        <v>2</v>
      </c>
    </row>
    <row r="44" spans="1:18" s="34" customFormat="1" ht="15.75">
      <c r="A44" s="29" t="s">
        <v>242</v>
      </c>
      <c r="B44" s="29" t="s">
        <v>24</v>
      </c>
      <c r="C44" s="74">
        <v>413</v>
      </c>
      <c r="D44" s="74">
        <v>419</v>
      </c>
      <c r="E44" s="127"/>
      <c r="F44" s="127">
        <v>408</v>
      </c>
      <c r="G44" s="74">
        <v>441</v>
      </c>
      <c r="H44" s="127">
        <v>391</v>
      </c>
      <c r="I44" s="127"/>
      <c r="J44" s="127"/>
      <c r="K44" s="127"/>
      <c r="L44" s="127">
        <v>402</v>
      </c>
      <c r="M44" s="29"/>
      <c r="N44" s="29">
        <f t="shared" si="3"/>
        <v>2474</v>
      </c>
      <c r="O44" s="29">
        <v>5</v>
      </c>
      <c r="P44" s="29">
        <v>3</v>
      </c>
      <c r="Q44" s="29">
        <v>37</v>
      </c>
      <c r="R44" s="29">
        <v>2</v>
      </c>
    </row>
    <row r="45" spans="1:18" s="25" customFormat="1" ht="15.75">
      <c r="A45" s="20" t="s">
        <v>243</v>
      </c>
      <c r="B45" s="20" t="s">
        <v>199</v>
      </c>
      <c r="C45" s="73">
        <v>420</v>
      </c>
      <c r="D45" s="84"/>
      <c r="E45" s="73">
        <v>462</v>
      </c>
      <c r="F45" s="84">
        <v>389</v>
      </c>
      <c r="G45" s="73">
        <v>413</v>
      </c>
      <c r="H45" s="73">
        <v>424</v>
      </c>
      <c r="I45" s="84"/>
      <c r="J45" s="84"/>
      <c r="K45" s="84"/>
      <c r="L45" s="84">
        <v>363</v>
      </c>
      <c r="M45" s="20"/>
      <c r="N45" s="20">
        <f t="shared" si="3"/>
        <v>2471</v>
      </c>
      <c r="O45" s="20">
        <v>6</v>
      </c>
      <c r="P45" s="20">
        <v>2</v>
      </c>
      <c r="Q45" s="20">
        <v>64</v>
      </c>
      <c r="R45" s="20">
        <v>2</v>
      </c>
    </row>
    <row r="46" spans="1:18" s="64" customFormat="1" ht="15.75">
      <c r="A46" s="63" t="s">
        <v>244</v>
      </c>
      <c r="B46" s="122" t="s">
        <v>23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63"/>
      <c r="N46" s="63">
        <f t="shared" si="3"/>
        <v>0</v>
      </c>
      <c r="O46" s="63"/>
      <c r="P46" s="63"/>
      <c r="Q46" s="63"/>
      <c r="R46" s="63"/>
    </row>
    <row r="47" spans="1:18" s="25" customFormat="1" ht="16.5" thickBot="1">
      <c r="A47" s="20" t="s">
        <v>245</v>
      </c>
      <c r="B47" s="20" t="s">
        <v>21</v>
      </c>
      <c r="C47" s="73">
        <v>421</v>
      </c>
      <c r="D47" s="84">
        <v>402</v>
      </c>
      <c r="E47" s="73">
        <v>427</v>
      </c>
      <c r="F47" s="84">
        <v>406</v>
      </c>
      <c r="G47" s="84">
        <v>417</v>
      </c>
      <c r="H47" s="84"/>
      <c r="I47" s="84"/>
      <c r="J47" s="84"/>
      <c r="K47" s="84"/>
      <c r="L47" s="84">
        <v>415</v>
      </c>
      <c r="M47" s="20"/>
      <c r="N47" s="20">
        <f>SUM(C47:M47)</f>
        <v>2488</v>
      </c>
      <c r="O47" s="28">
        <v>2</v>
      </c>
      <c r="P47" s="28">
        <v>6</v>
      </c>
      <c r="Q47" s="28">
        <v>-37</v>
      </c>
      <c r="R47" s="28">
        <v>0</v>
      </c>
    </row>
    <row r="48" spans="3:18" ht="16.5" thickTop="1">
      <c r="C48" s="169">
        <f>SUM(C31:C47)</f>
        <v>6076</v>
      </c>
      <c r="D48" s="169">
        <f aca="true" t="shared" si="4" ref="D48:L48">SUM(D31:D47)</f>
        <v>5557</v>
      </c>
      <c r="E48" s="169">
        <f t="shared" si="4"/>
        <v>4118</v>
      </c>
      <c r="F48" s="169">
        <f t="shared" si="4"/>
        <v>5335</v>
      </c>
      <c r="G48" s="169">
        <f t="shared" si="4"/>
        <v>6927</v>
      </c>
      <c r="H48" s="169">
        <f t="shared" si="4"/>
        <v>4617</v>
      </c>
      <c r="I48" s="169">
        <f t="shared" si="4"/>
        <v>0</v>
      </c>
      <c r="J48" s="169">
        <f t="shared" si="4"/>
        <v>0</v>
      </c>
      <c r="K48" s="169">
        <f t="shared" si="4"/>
        <v>578</v>
      </c>
      <c r="L48" s="169">
        <f t="shared" si="4"/>
        <v>6902</v>
      </c>
      <c r="O48" s="1">
        <f>SUM(O31:O47)</f>
        <v>68</v>
      </c>
      <c r="P48" s="1">
        <f>SUM(P31:P47)</f>
        <v>60</v>
      </c>
      <c r="Q48" s="1">
        <f>SUM(Q31:Q47)</f>
        <v>166</v>
      </c>
      <c r="R48" s="1">
        <f>SUM(R31:R47)</f>
        <v>15</v>
      </c>
    </row>
    <row r="50" spans="2:20" ht="31.5">
      <c r="B50" s="12" t="s">
        <v>152</v>
      </c>
      <c r="C50" s="17">
        <f>AVERAGE(C31:C47)</f>
        <v>434</v>
      </c>
      <c r="D50" s="17">
        <f>D48/13.5</f>
        <v>411.6296296296296</v>
      </c>
      <c r="E50" s="17">
        <f aca="true" t="shared" si="5" ref="E50:L50">AVERAGE(E31:E47)</f>
        <v>411.8</v>
      </c>
      <c r="F50" s="17">
        <f t="shared" si="5"/>
        <v>410.38461538461536</v>
      </c>
      <c r="G50" s="17">
        <f t="shared" si="5"/>
        <v>432.9375</v>
      </c>
      <c r="H50" s="17">
        <f>H48/11.5</f>
        <v>401.4782608695652</v>
      </c>
      <c r="I50" s="17"/>
      <c r="J50" s="17"/>
      <c r="K50" s="17">
        <f t="shared" si="5"/>
        <v>289</v>
      </c>
      <c r="L50" s="17">
        <f t="shared" si="5"/>
        <v>431.375</v>
      </c>
      <c r="N50" s="3" t="s">
        <v>35</v>
      </c>
      <c r="O50" s="185" t="s">
        <v>135</v>
      </c>
      <c r="P50" s="185"/>
      <c r="Q50" s="3" t="s">
        <v>36</v>
      </c>
      <c r="R50" s="11" t="s">
        <v>136</v>
      </c>
      <c r="T50" s="14" t="s">
        <v>150</v>
      </c>
    </row>
    <row r="51" spans="14:20" ht="15.75">
      <c r="N51" s="6">
        <f>SUM(N31:N47)</f>
        <v>40110</v>
      </c>
      <c r="O51" s="6">
        <f>SUM(O31:O47)</f>
        <v>68</v>
      </c>
      <c r="P51" s="6">
        <f>SUM(P31:P47)</f>
        <v>60</v>
      </c>
      <c r="Q51" s="6">
        <f>SUM(Q31:Q47)</f>
        <v>166</v>
      </c>
      <c r="R51" s="6">
        <f>SUM(R31:R47)</f>
        <v>15</v>
      </c>
      <c r="T51" s="2">
        <f>O51-P51</f>
        <v>8</v>
      </c>
    </row>
    <row r="53" spans="14:15" ht="15.75">
      <c r="N53" s="1" t="s">
        <v>153</v>
      </c>
      <c r="O53" s="19">
        <f>SUM(N31:N47)/16</f>
        <v>2506.875</v>
      </c>
    </row>
  </sheetData>
  <mergeCells count="11">
    <mergeCell ref="C25:D25"/>
    <mergeCell ref="C1:M1"/>
    <mergeCell ref="O1:P1"/>
    <mergeCell ref="C24:D24"/>
    <mergeCell ref="O21:P21"/>
    <mergeCell ref="C26:D26"/>
    <mergeCell ref="L26:M26"/>
    <mergeCell ref="O50:P50"/>
    <mergeCell ref="F28:G28"/>
    <mergeCell ref="L27:M27"/>
    <mergeCell ref="I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zoomScale="90" zoomScaleNormal="90" workbookViewId="0" topLeftCell="A23">
      <selection activeCell="P47" sqref="P47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4.00390625" style="1" customWidth="1"/>
    <col min="5" max="5" width="9.125" style="1" customWidth="1"/>
    <col min="6" max="6" width="11.375" style="1" customWidth="1"/>
    <col min="7" max="9" width="9.125" style="1" customWidth="1"/>
    <col min="10" max="10" width="12.00390625" style="1" customWidth="1"/>
    <col min="11" max="11" width="11.875" style="1" customWidth="1"/>
    <col min="12" max="12" width="14.87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4.625" style="1" customWidth="1"/>
    <col min="18" max="18" width="15.75390625" style="0" bestFit="1" customWidth="1"/>
  </cols>
  <sheetData>
    <row r="1" spans="3:19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M1" s="185" t="s">
        <v>33</v>
      </c>
      <c r="N1" s="185"/>
      <c r="Q1" s="2"/>
      <c r="R1" s="2"/>
      <c r="S1" s="2"/>
    </row>
    <row r="2" spans="2:16" ht="34.5" customHeight="1" thickBot="1">
      <c r="B2" s="3" t="s">
        <v>29</v>
      </c>
      <c r="C2" s="9" t="s">
        <v>92</v>
      </c>
      <c r="D2" s="9" t="s">
        <v>93</v>
      </c>
      <c r="E2" s="9" t="s">
        <v>94</v>
      </c>
      <c r="F2" s="9" t="s">
        <v>95</v>
      </c>
      <c r="G2" s="9" t="s">
        <v>96</v>
      </c>
      <c r="H2" s="9" t="s">
        <v>148</v>
      </c>
      <c r="I2" s="9"/>
      <c r="J2" s="9" t="s">
        <v>118</v>
      </c>
      <c r="K2" s="9"/>
      <c r="L2" s="3" t="s">
        <v>35</v>
      </c>
      <c r="M2" s="3" t="s">
        <v>32</v>
      </c>
      <c r="N2" s="3" t="s">
        <v>34</v>
      </c>
      <c r="O2" s="3" t="s">
        <v>36</v>
      </c>
      <c r="P2" s="11" t="s">
        <v>134</v>
      </c>
    </row>
    <row r="3" spans="1:16" s="34" customFormat="1" ht="15.75">
      <c r="A3" s="29" t="s">
        <v>0</v>
      </c>
      <c r="B3" s="29" t="s">
        <v>28</v>
      </c>
      <c r="C3" s="48">
        <v>414</v>
      </c>
      <c r="D3" s="48"/>
      <c r="E3" s="74">
        <v>437</v>
      </c>
      <c r="F3" s="74">
        <v>436</v>
      </c>
      <c r="G3" s="48">
        <v>397</v>
      </c>
      <c r="H3" s="74">
        <v>422</v>
      </c>
      <c r="I3" s="48"/>
      <c r="J3" s="48">
        <v>385</v>
      </c>
      <c r="K3" s="44"/>
      <c r="L3" s="32">
        <f>SUM(C3:K3)</f>
        <v>2491</v>
      </c>
      <c r="M3" s="29">
        <v>3</v>
      </c>
      <c r="N3" s="29">
        <v>5</v>
      </c>
      <c r="O3" s="32">
        <v>-103</v>
      </c>
      <c r="P3" s="29">
        <v>0</v>
      </c>
    </row>
    <row r="4" spans="1:16" s="25" customFormat="1" ht="15.75">
      <c r="A4" s="20" t="s">
        <v>1</v>
      </c>
      <c r="B4" s="20" t="s">
        <v>198</v>
      </c>
      <c r="C4" s="47">
        <v>403</v>
      </c>
      <c r="D4" s="47">
        <v>339</v>
      </c>
      <c r="E4" s="73">
        <v>409</v>
      </c>
      <c r="F4" s="73">
        <v>407</v>
      </c>
      <c r="G4" s="47">
        <v>403</v>
      </c>
      <c r="H4" s="47"/>
      <c r="I4" s="47"/>
      <c r="J4" s="73">
        <v>411</v>
      </c>
      <c r="K4" s="39"/>
      <c r="L4" s="23">
        <f aca="true" t="shared" si="0" ref="L4:L19">SUM(C4:K4)</f>
        <v>2372</v>
      </c>
      <c r="M4" s="20">
        <v>3</v>
      </c>
      <c r="N4" s="20">
        <v>5</v>
      </c>
      <c r="O4" s="20">
        <v>-35</v>
      </c>
      <c r="P4" s="20">
        <v>0</v>
      </c>
    </row>
    <row r="5" spans="1:16" s="34" customFormat="1" ht="15.75">
      <c r="A5" s="29" t="s">
        <v>2</v>
      </c>
      <c r="B5" s="29" t="s">
        <v>18</v>
      </c>
      <c r="C5" s="74">
        <v>454</v>
      </c>
      <c r="D5" s="48">
        <v>368</v>
      </c>
      <c r="E5" s="74">
        <v>436</v>
      </c>
      <c r="F5" s="48">
        <v>369</v>
      </c>
      <c r="G5" s="74">
        <v>425</v>
      </c>
      <c r="H5" s="48">
        <v>363</v>
      </c>
      <c r="I5" s="48"/>
      <c r="J5" s="48"/>
      <c r="K5" s="44"/>
      <c r="L5" s="32">
        <f t="shared" si="0"/>
        <v>2415</v>
      </c>
      <c r="M5" s="29">
        <v>3</v>
      </c>
      <c r="N5" s="29">
        <v>5</v>
      </c>
      <c r="O5" s="32">
        <f>L5-2459</f>
        <v>-44</v>
      </c>
      <c r="P5" s="29">
        <v>0</v>
      </c>
    </row>
    <row r="6" spans="1:16" s="25" customFormat="1" ht="15.75">
      <c r="A6" s="20" t="s">
        <v>3</v>
      </c>
      <c r="B6" s="20" t="s">
        <v>26</v>
      </c>
      <c r="C6" s="73">
        <v>422</v>
      </c>
      <c r="D6" s="47">
        <v>390</v>
      </c>
      <c r="E6" s="47">
        <v>418</v>
      </c>
      <c r="F6" s="47">
        <v>415</v>
      </c>
      <c r="G6" s="73">
        <v>452</v>
      </c>
      <c r="H6" s="47"/>
      <c r="I6" s="47"/>
      <c r="J6" s="47">
        <v>385</v>
      </c>
      <c r="K6" s="39"/>
      <c r="L6" s="23">
        <f t="shared" si="0"/>
        <v>2482</v>
      </c>
      <c r="M6" s="20">
        <v>2</v>
      </c>
      <c r="N6" s="20">
        <v>6</v>
      </c>
      <c r="O6" s="23">
        <v>-113</v>
      </c>
      <c r="P6" s="20">
        <v>0</v>
      </c>
    </row>
    <row r="7" spans="1:16" s="34" customFormat="1" ht="15.75">
      <c r="A7" s="29" t="s">
        <v>4</v>
      </c>
      <c r="B7" s="29" t="s">
        <v>20</v>
      </c>
      <c r="C7" s="48">
        <v>414</v>
      </c>
      <c r="D7" s="48">
        <v>356</v>
      </c>
      <c r="E7" s="74">
        <v>430</v>
      </c>
      <c r="F7" s="74">
        <v>420</v>
      </c>
      <c r="G7" s="48">
        <v>394</v>
      </c>
      <c r="H7" s="48">
        <v>375</v>
      </c>
      <c r="I7" s="48"/>
      <c r="J7" s="48"/>
      <c r="K7" s="44"/>
      <c r="L7" s="32">
        <f t="shared" si="0"/>
        <v>2389</v>
      </c>
      <c r="M7" s="29">
        <v>2</v>
      </c>
      <c r="N7" s="29">
        <v>6</v>
      </c>
      <c r="O7" s="32">
        <v>-145</v>
      </c>
      <c r="P7" s="29">
        <v>0</v>
      </c>
    </row>
    <row r="8" spans="1:16" s="25" customFormat="1" ht="15.75">
      <c r="A8" s="20" t="s">
        <v>5</v>
      </c>
      <c r="B8" s="20" t="s">
        <v>22</v>
      </c>
      <c r="C8" s="47">
        <v>371</v>
      </c>
      <c r="D8" s="47"/>
      <c r="E8" s="73">
        <v>408</v>
      </c>
      <c r="F8" s="73">
        <v>411</v>
      </c>
      <c r="G8" s="73">
        <v>437</v>
      </c>
      <c r="H8" s="47">
        <v>405</v>
      </c>
      <c r="I8" s="47"/>
      <c r="J8" s="47">
        <v>376</v>
      </c>
      <c r="K8" s="39"/>
      <c r="L8" s="23">
        <f t="shared" si="0"/>
        <v>2408</v>
      </c>
      <c r="M8" s="20">
        <v>3</v>
      </c>
      <c r="N8" s="20">
        <v>5</v>
      </c>
      <c r="O8" s="23">
        <v>-15</v>
      </c>
      <c r="P8" s="20">
        <v>0</v>
      </c>
    </row>
    <row r="9" spans="1:16" s="34" customFormat="1" ht="15.75">
      <c r="A9" s="29" t="s">
        <v>6</v>
      </c>
      <c r="B9" s="35" t="s">
        <v>30</v>
      </c>
      <c r="C9" s="48">
        <v>414</v>
      </c>
      <c r="D9" s="48">
        <v>364</v>
      </c>
      <c r="E9" s="74">
        <v>452</v>
      </c>
      <c r="F9" s="74">
        <v>432</v>
      </c>
      <c r="G9" s="74">
        <v>448</v>
      </c>
      <c r="H9" s="48">
        <v>402</v>
      </c>
      <c r="I9" s="48"/>
      <c r="J9" s="48"/>
      <c r="K9" s="44"/>
      <c r="L9" s="32">
        <f t="shared" si="0"/>
        <v>2512</v>
      </c>
      <c r="M9" s="29">
        <v>3</v>
      </c>
      <c r="N9" s="29">
        <v>5</v>
      </c>
      <c r="O9" s="32">
        <v>-95</v>
      </c>
      <c r="P9" s="29">
        <v>0</v>
      </c>
    </row>
    <row r="10" spans="1:16" s="25" customFormat="1" ht="15.75">
      <c r="A10" s="20" t="s">
        <v>7</v>
      </c>
      <c r="B10" s="20" t="s">
        <v>19</v>
      </c>
      <c r="C10" s="73">
        <v>450</v>
      </c>
      <c r="D10" s="47"/>
      <c r="E10" s="47">
        <v>388</v>
      </c>
      <c r="F10" s="73">
        <v>431</v>
      </c>
      <c r="G10" s="47">
        <v>391</v>
      </c>
      <c r="H10" s="47">
        <v>385</v>
      </c>
      <c r="I10" s="47"/>
      <c r="J10" s="47">
        <v>366</v>
      </c>
      <c r="K10" s="39"/>
      <c r="L10" s="23">
        <f t="shared" si="0"/>
        <v>2411</v>
      </c>
      <c r="M10" s="20">
        <v>2</v>
      </c>
      <c r="N10" s="20">
        <v>6</v>
      </c>
      <c r="O10" s="23">
        <v>-4</v>
      </c>
      <c r="P10" s="20">
        <v>0</v>
      </c>
    </row>
    <row r="11" spans="1:16" s="34" customFormat="1" ht="15.75">
      <c r="A11" s="29" t="s">
        <v>8</v>
      </c>
      <c r="B11" s="29" t="s">
        <v>24</v>
      </c>
      <c r="C11" s="48">
        <v>409</v>
      </c>
      <c r="D11" s="48"/>
      <c r="E11" s="74">
        <v>435</v>
      </c>
      <c r="F11" s="74">
        <v>417</v>
      </c>
      <c r="G11" s="48">
        <v>398</v>
      </c>
      <c r="H11" s="74">
        <v>421</v>
      </c>
      <c r="I11" s="48"/>
      <c r="J11" s="74">
        <v>419</v>
      </c>
      <c r="K11" s="44"/>
      <c r="L11" s="32">
        <f t="shared" si="0"/>
        <v>2499</v>
      </c>
      <c r="M11" s="29">
        <v>6</v>
      </c>
      <c r="N11" s="29">
        <v>2</v>
      </c>
      <c r="O11" s="32">
        <f>L11-2309</f>
        <v>190</v>
      </c>
      <c r="P11" s="29">
        <v>2</v>
      </c>
    </row>
    <row r="12" spans="1:16" s="25" customFormat="1" ht="15.75">
      <c r="A12" s="20" t="s">
        <v>9</v>
      </c>
      <c r="B12" s="20" t="s">
        <v>199</v>
      </c>
      <c r="C12" s="47"/>
      <c r="D12" s="47">
        <v>389</v>
      </c>
      <c r="E12" s="73">
        <v>444</v>
      </c>
      <c r="F12" s="73">
        <v>437</v>
      </c>
      <c r="G12" s="73">
        <v>439</v>
      </c>
      <c r="H12" s="73">
        <v>409</v>
      </c>
      <c r="I12" s="47"/>
      <c r="J12" s="47">
        <v>404</v>
      </c>
      <c r="K12" s="39"/>
      <c r="L12" s="23">
        <f t="shared" si="0"/>
        <v>2522</v>
      </c>
      <c r="M12" s="20">
        <v>6</v>
      </c>
      <c r="N12" s="20">
        <v>2</v>
      </c>
      <c r="O12" s="20">
        <v>162</v>
      </c>
      <c r="P12" s="20">
        <v>2</v>
      </c>
    </row>
    <row r="13" spans="1:16" s="34" customFormat="1" ht="15.75">
      <c r="A13" s="29" t="s">
        <v>10</v>
      </c>
      <c r="B13" s="29" t="s">
        <v>23</v>
      </c>
      <c r="C13" s="48"/>
      <c r="D13" s="48"/>
      <c r="E13" s="48"/>
      <c r="F13" s="48"/>
      <c r="G13" s="48"/>
      <c r="H13" s="48"/>
      <c r="I13" s="48"/>
      <c r="J13" s="48"/>
      <c r="K13" s="44"/>
      <c r="L13" s="32">
        <f t="shared" si="0"/>
        <v>0</v>
      </c>
      <c r="M13" s="29"/>
      <c r="N13" s="29"/>
      <c r="O13" s="32"/>
      <c r="P13" s="29"/>
    </row>
    <row r="14" spans="1:16" s="25" customFormat="1" ht="15.75">
      <c r="A14" s="20" t="s">
        <v>11</v>
      </c>
      <c r="B14" s="20" t="s">
        <v>21</v>
      </c>
      <c r="C14" s="73">
        <v>465</v>
      </c>
      <c r="D14" s="47">
        <v>427</v>
      </c>
      <c r="E14" s="73">
        <v>463</v>
      </c>
      <c r="F14" s="73">
        <v>447</v>
      </c>
      <c r="G14" s="47">
        <v>402</v>
      </c>
      <c r="H14" s="47"/>
      <c r="I14" s="47"/>
      <c r="J14" s="47">
        <v>384</v>
      </c>
      <c r="K14" s="39"/>
      <c r="L14" s="23">
        <f t="shared" si="0"/>
        <v>2588</v>
      </c>
      <c r="M14" s="20">
        <v>3</v>
      </c>
      <c r="N14" s="20">
        <v>5</v>
      </c>
      <c r="O14" s="20">
        <v>-1</v>
      </c>
      <c r="P14" s="20">
        <v>0</v>
      </c>
    </row>
    <row r="15" spans="1:16" s="34" customFormat="1" ht="15.75">
      <c r="A15" s="29" t="s">
        <v>12</v>
      </c>
      <c r="B15" s="29" t="s">
        <v>25</v>
      </c>
      <c r="C15" s="48"/>
      <c r="D15" s="48">
        <v>356</v>
      </c>
      <c r="E15" s="74">
        <v>443</v>
      </c>
      <c r="F15" s="48">
        <v>421</v>
      </c>
      <c r="G15" s="48">
        <v>435</v>
      </c>
      <c r="H15" s="48">
        <v>404</v>
      </c>
      <c r="I15" s="48"/>
      <c r="J15" s="48">
        <v>370</v>
      </c>
      <c r="K15" s="44"/>
      <c r="L15" s="32">
        <f t="shared" si="0"/>
        <v>2429</v>
      </c>
      <c r="M15" s="29">
        <v>1</v>
      </c>
      <c r="N15" s="29">
        <v>7</v>
      </c>
      <c r="O15" s="29">
        <v>-202</v>
      </c>
      <c r="P15" s="29">
        <v>0</v>
      </c>
    </row>
    <row r="16" spans="1:16" s="25" customFormat="1" ht="15.75">
      <c r="A16" s="20" t="s">
        <v>13</v>
      </c>
      <c r="B16" s="20" t="s">
        <v>17</v>
      </c>
      <c r="C16" s="47">
        <v>396</v>
      </c>
      <c r="D16" s="47">
        <v>394</v>
      </c>
      <c r="E16" s="47">
        <v>165</v>
      </c>
      <c r="F16" s="73">
        <v>455</v>
      </c>
      <c r="G16" s="47">
        <v>407</v>
      </c>
      <c r="H16" s="47">
        <v>409</v>
      </c>
      <c r="I16" s="47"/>
      <c r="J16" s="47"/>
      <c r="K16" s="39"/>
      <c r="L16" s="23">
        <f t="shared" si="0"/>
        <v>2226</v>
      </c>
      <c r="M16" s="20">
        <v>1</v>
      </c>
      <c r="N16" s="20">
        <v>7</v>
      </c>
      <c r="O16" s="23">
        <f>L16-2677</f>
        <v>-451</v>
      </c>
      <c r="P16" s="20">
        <v>0</v>
      </c>
    </row>
    <row r="17" spans="1:16" s="34" customFormat="1" ht="15.75">
      <c r="A17" s="29" t="s">
        <v>14</v>
      </c>
      <c r="B17" s="29" t="s">
        <v>15</v>
      </c>
      <c r="C17" s="74">
        <v>447</v>
      </c>
      <c r="D17" s="48">
        <v>414</v>
      </c>
      <c r="E17" s="48">
        <v>406</v>
      </c>
      <c r="F17" s="74">
        <v>435</v>
      </c>
      <c r="G17" s="74">
        <v>459</v>
      </c>
      <c r="H17" s="48">
        <v>379</v>
      </c>
      <c r="I17" s="48"/>
      <c r="J17" s="48"/>
      <c r="K17" s="44"/>
      <c r="L17" s="23">
        <f t="shared" si="0"/>
        <v>2540</v>
      </c>
      <c r="M17" s="29">
        <v>5</v>
      </c>
      <c r="N17" s="29">
        <v>3</v>
      </c>
      <c r="O17" s="29">
        <v>5</v>
      </c>
      <c r="P17" s="29">
        <v>2</v>
      </c>
    </row>
    <row r="18" spans="1:16" s="25" customFormat="1" ht="15.75">
      <c r="A18" s="20" t="s">
        <v>234</v>
      </c>
      <c r="B18" s="20" t="s">
        <v>27</v>
      </c>
      <c r="C18" s="47"/>
      <c r="D18" s="47">
        <v>368</v>
      </c>
      <c r="E18" s="73">
        <v>410</v>
      </c>
      <c r="F18" s="73">
        <v>464</v>
      </c>
      <c r="G18" s="73">
        <v>409</v>
      </c>
      <c r="H18" s="48">
        <v>396</v>
      </c>
      <c r="I18" s="47"/>
      <c r="J18" s="47">
        <v>390</v>
      </c>
      <c r="K18" s="39"/>
      <c r="L18" s="23">
        <f t="shared" si="0"/>
        <v>2437</v>
      </c>
      <c r="M18" s="20">
        <v>3</v>
      </c>
      <c r="N18" s="20">
        <v>5</v>
      </c>
      <c r="O18" s="23">
        <v>-67</v>
      </c>
      <c r="P18" s="20">
        <v>0</v>
      </c>
    </row>
    <row r="19" spans="1:16" s="34" customFormat="1" ht="16.5" thickBot="1">
      <c r="A19" s="29" t="s">
        <v>235</v>
      </c>
      <c r="B19" s="29" t="s">
        <v>16</v>
      </c>
      <c r="C19" s="53">
        <v>413</v>
      </c>
      <c r="D19" s="53"/>
      <c r="E19" s="134">
        <v>443</v>
      </c>
      <c r="F19" s="53">
        <v>405</v>
      </c>
      <c r="G19" s="53">
        <v>398</v>
      </c>
      <c r="H19" s="50">
        <v>395</v>
      </c>
      <c r="I19" s="53"/>
      <c r="J19" s="53">
        <v>390</v>
      </c>
      <c r="K19" s="41"/>
      <c r="L19" s="42">
        <f t="shared" si="0"/>
        <v>2444</v>
      </c>
      <c r="M19" s="28">
        <v>1</v>
      </c>
      <c r="N19" s="28">
        <v>7</v>
      </c>
      <c r="O19" s="27">
        <f>L19-2571</f>
        <v>-127</v>
      </c>
      <c r="P19" s="43">
        <v>0</v>
      </c>
    </row>
    <row r="20" spans="3:11" ht="16.5" thickTop="1">
      <c r="C20" s="6">
        <f>SUM(C3:C19)</f>
        <v>5472</v>
      </c>
      <c r="D20" s="6">
        <f>SUM(D3:D19)</f>
        <v>4165</v>
      </c>
      <c r="E20" s="6">
        <f aca="true" t="shared" si="1" ref="E20:K20">SUM(E3:E19)</f>
        <v>6587</v>
      </c>
      <c r="F20" s="6">
        <f t="shared" si="1"/>
        <v>6802</v>
      </c>
      <c r="G20" s="6">
        <f t="shared" si="1"/>
        <v>6694</v>
      </c>
      <c r="H20" s="6">
        <f t="shared" si="1"/>
        <v>5165</v>
      </c>
      <c r="I20" s="6">
        <f>SUM(I3:I19)</f>
        <v>0</v>
      </c>
      <c r="J20" s="6">
        <f t="shared" si="1"/>
        <v>4280</v>
      </c>
      <c r="K20" s="6">
        <f t="shared" si="1"/>
        <v>0</v>
      </c>
    </row>
    <row r="21" spans="2:18" ht="33" customHeight="1">
      <c r="B21" s="12" t="s">
        <v>152</v>
      </c>
      <c r="C21" s="17">
        <f>AVERAGE(C3:C19)</f>
        <v>420.9230769230769</v>
      </c>
      <c r="D21" s="17">
        <f aca="true" t="shared" si="2" ref="D21:J21">AVERAGE(D3:D19)</f>
        <v>378.6363636363636</v>
      </c>
      <c r="E21" s="17">
        <f t="shared" si="2"/>
        <v>411.6875</v>
      </c>
      <c r="F21" s="17">
        <f t="shared" si="2"/>
        <v>425.125</v>
      </c>
      <c r="G21" s="17">
        <f t="shared" si="2"/>
        <v>418.375</v>
      </c>
      <c r="H21" s="17">
        <f t="shared" si="2"/>
        <v>397.3076923076923</v>
      </c>
      <c r="I21" s="17"/>
      <c r="J21" s="17">
        <f t="shared" si="2"/>
        <v>389.09090909090907</v>
      </c>
      <c r="K21" s="17"/>
      <c r="L21" s="3" t="s">
        <v>35</v>
      </c>
      <c r="M21" s="185" t="s">
        <v>135</v>
      </c>
      <c r="N21" s="185"/>
      <c r="O21" s="3" t="s">
        <v>36</v>
      </c>
      <c r="P21" s="11" t="s">
        <v>136</v>
      </c>
      <c r="R21" s="14" t="s">
        <v>150</v>
      </c>
    </row>
    <row r="22" spans="12:18" ht="15.75">
      <c r="L22" s="6">
        <f>SUM(L3:L19)</f>
        <v>39165</v>
      </c>
      <c r="M22" s="1">
        <f>SUM(M3:M19)</f>
        <v>47</v>
      </c>
      <c r="N22" s="1">
        <f>SUM(N3:N19)</f>
        <v>81</v>
      </c>
      <c r="O22" s="1">
        <f>SUM(O3:O19)</f>
        <v>-1045</v>
      </c>
      <c r="P22" s="1">
        <f>SUM(P3:P19)</f>
        <v>6</v>
      </c>
      <c r="R22" s="2">
        <f>M22-N22</f>
        <v>-34</v>
      </c>
    </row>
    <row r="23" ht="15.75">
      <c r="H23" s="10"/>
    </row>
    <row r="24" spans="3:13" ht="15.75">
      <c r="C24" s="190" t="s">
        <v>48</v>
      </c>
      <c r="D24" s="190"/>
      <c r="L24" s="1" t="s">
        <v>153</v>
      </c>
      <c r="M24" s="19">
        <f>L22/16</f>
        <v>2447.8125</v>
      </c>
    </row>
    <row r="25" spans="3:4" ht="15.75">
      <c r="C25" s="188" t="s">
        <v>157</v>
      </c>
      <c r="D25" s="188"/>
    </row>
    <row r="26" spans="3:13" ht="15.75">
      <c r="C26" s="189" t="s">
        <v>158</v>
      </c>
      <c r="D26" s="189"/>
      <c r="I26" s="185" t="s">
        <v>183</v>
      </c>
      <c r="J26" s="185"/>
      <c r="K26" s="3" t="s">
        <v>184</v>
      </c>
      <c r="L26" s="191" t="s">
        <v>150</v>
      </c>
      <c r="M26" s="191"/>
    </row>
    <row r="27" spans="9:13" ht="15.75">
      <c r="I27" s="1">
        <f>M22+M48</f>
        <v>104</v>
      </c>
      <c r="J27" s="1">
        <f>N22+N48</f>
        <v>152</v>
      </c>
      <c r="K27" s="1">
        <f>P22+P48</f>
        <v>18</v>
      </c>
      <c r="L27" s="187">
        <f>I27-J27</f>
        <v>-48</v>
      </c>
      <c r="M27" s="187"/>
    </row>
    <row r="28" spans="1:7" ht="15.75">
      <c r="A28" s="128" t="s">
        <v>169</v>
      </c>
      <c r="B28" s="129"/>
      <c r="C28" s="128" t="s">
        <v>175</v>
      </c>
      <c r="D28" s="131"/>
      <c r="E28" s="129" t="s">
        <v>174</v>
      </c>
      <c r="F28" s="186" t="s">
        <v>168</v>
      </c>
      <c r="G28" s="186"/>
    </row>
    <row r="30" spans="2:16" ht="34.5" customHeight="1" thickBot="1">
      <c r="B30" s="3" t="s">
        <v>29</v>
      </c>
      <c r="C30" s="9" t="s">
        <v>92</v>
      </c>
      <c r="D30" s="9" t="s">
        <v>93</v>
      </c>
      <c r="E30" s="9" t="s">
        <v>94</v>
      </c>
      <c r="F30" s="9" t="s">
        <v>95</v>
      </c>
      <c r="G30" s="9" t="s">
        <v>96</v>
      </c>
      <c r="H30" s="9" t="s">
        <v>148</v>
      </c>
      <c r="I30" s="9" t="s">
        <v>247</v>
      </c>
      <c r="J30" s="9" t="s">
        <v>118</v>
      </c>
      <c r="K30" s="9" t="s">
        <v>250</v>
      </c>
      <c r="L30" s="3" t="s">
        <v>35</v>
      </c>
      <c r="M30" s="3" t="s">
        <v>32</v>
      </c>
      <c r="N30" s="3" t="s">
        <v>34</v>
      </c>
      <c r="O30" s="3" t="s">
        <v>36</v>
      </c>
      <c r="P30" s="11" t="s">
        <v>134</v>
      </c>
    </row>
    <row r="31" spans="1:16" s="25" customFormat="1" ht="15.75">
      <c r="A31" s="20" t="s">
        <v>185</v>
      </c>
      <c r="B31" s="20" t="s">
        <v>28</v>
      </c>
      <c r="C31" s="79">
        <v>437</v>
      </c>
      <c r="D31" s="37">
        <v>374</v>
      </c>
      <c r="E31" s="37"/>
      <c r="F31" s="79">
        <v>410</v>
      </c>
      <c r="G31" s="37">
        <v>407</v>
      </c>
      <c r="H31" s="37">
        <v>379</v>
      </c>
      <c r="I31" s="37"/>
      <c r="J31" s="37">
        <v>399</v>
      </c>
      <c r="K31" s="20"/>
      <c r="L31" s="20">
        <f>SUM(C31:K31)</f>
        <v>2406</v>
      </c>
      <c r="M31" s="20">
        <v>2</v>
      </c>
      <c r="N31" s="20">
        <v>6</v>
      </c>
      <c r="O31" s="20">
        <v>-39</v>
      </c>
      <c r="P31" s="20">
        <v>0</v>
      </c>
    </row>
    <row r="32" spans="1:16" s="34" customFormat="1" ht="15.75">
      <c r="A32" s="29" t="s">
        <v>186</v>
      </c>
      <c r="B32" s="29" t="s">
        <v>198</v>
      </c>
      <c r="C32" s="87">
        <v>410</v>
      </c>
      <c r="D32" s="35"/>
      <c r="E32" s="87">
        <v>430</v>
      </c>
      <c r="F32" s="87">
        <v>435</v>
      </c>
      <c r="G32" s="87">
        <v>422</v>
      </c>
      <c r="H32" s="35">
        <v>374</v>
      </c>
      <c r="I32" s="35"/>
      <c r="J32" s="35">
        <v>402</v>
      </c>
      <c r="K32" s="29"/>
      <c r="L32" s="29">
        <f>SUM(C32:K32)</f>
        <v>2473</v>
      </c>
      <c r="M32" s="29">
        <v>6</v>
      </c>
      <c r="N32" s="29">
        <v>2</v>
      </c>
      <c r="O32" s="29">
        <f>L32-2376</f>
        <v>97</v>
      </c>
      <c r="P32" s="29">
        <v>2</v>
      </c>
    </row>
    <row r="33" spans="1:16" s="25" customFormat="1" ht="15.75">
      <c r="A33" s="20" t="s">
        <v>187</v>
      </c>
      <c r="B33" s="20" t="s">
        <v>18</v>
      </c>
      <c r="C33" s="37">
        <v>395</v>
      </c>
      <c r="D33" s="37">
        <v>380</v>
      </c>
      <c r="E33" s="79">
        <v>416</v>
      </c>
      <c r="F33" s="79">
        <v>422</v>
      </c>
      <c r="G33" s="37">
        <v>411</v>
      </c>
      <c r="H33" s="37"/>
      <c r="I33" s="37"/>
      <c r="J33" s="79">
        <v>446</v>
      </c>
      <c r="K33" s="20"/>
      <c r="L33" s="20">
        <f>SUM(C33:K33)</f>
        <v>2470</v>
      </c>
      <c r="M33" s="20">
        <v>3</v>
      </c>
      <c r="N33" s="20">
        <v>5</v>
      </c>
      <c r="O33" s="20">
        <v>-13</v>
      </c>
      <c r="P33" s="20">
        <v>0</v>
      </c>
    </row>
    <row r="34" spans="1:16" s="34" customFormat="1" ht="15.75">
      <c r="A34" s="29" t="s">
        <v>188</v>
      </c>
      <c r="B34" s="29" t="s">
        <v>26</v>
      </c>
      <c r="C34" s="35">
        <v>408</v>
      </c>
      <c r="D34" s="35"/>
      <c r="E34" s="87">
        <v>449</v>
      </c>
      <c r="F34" s="87">
        <v>422</v>
      </c>
      <c r="G34" s="35">
        <v>390</v>
      </c>
      <c r="H34" s="35">
        <v>379</v>
      </c>
      <c r="I34" s="35">
        <v>393</v>
      </c>
      <c r="J34" s="35"/>
      <c r="K34" s="29"/>
      <c r="L34" s="29">
        <f>SUM(C34:K34)</f>
        <v>2441</v>
      </c>
      <c r="M34" s="29">
        <v>2</v>
      </c>
      <c r="N34" s="29">
        <v>6</v>
      </c>
      <c r="O34" s="29">
        <f>L34-2523</f>
        <v>-82</v>
      </c>
      <c r="P34" s="29">
        <v>0</v>
      </c>
    </row>
    <row r="35" spans="1:16" s="25" customFormat="1" ht="15.75">
      <c r="A35" s="20" t="s">
        <v>189</v>
      </c>
      <c r="B35" s="20" t="s">
        <v>20</v>
      </c>
      <c r="C35" s="79">
        <v>410</v>
      </c>
      <c r="D35" s="37"/>
      <c r="E35" s="79">
        <v>424</v>
      </c>
      <c r="F35" s="79">
        <v>417</v>
      </c>
      <c r="G35" s="37">
        <v>390</v>
      </c>
      <c r="H35" s="37"/>
      <c r="I35" s="37">
        <v>400</v>
      </c>
      <c r="J35" s="79">
        <v>414</v>
      </c>
      <c r="K35" s="20"/>
      <c r="L35" s="20">
        <f>SUM(C35:K35)</f>
        <v>2455</v>
      </c>
      <c r="M35" s="20">
        <v>4</v>
      </c>
      <c r="N35" s="20">
        <v>4</v>
      </c>
      <c r="O35" s="20">
        <v>-4</v>
      </c>
      <c r="P35" s="20">
        <v>1</v>
      </c>
    </row>
    <row r="36" spans="1:16" s="34" customFormat="1" ht="15.75">
      <c r="A36" s="29" t="s">
        <v>190</v>
      </c>
      <c r="B36" s="29" t="s">
        <v>22</v>
      </c>
      <c r="C36" s="35"/>
      <c r="D36" s="35">
        <v>374</v>
      </c>
      <c r="E36" s="35">
        <v>419</v>
      </c>
      <c r="F36" s="35">
        <v>410</v>
      </c>
      <c r="G36" s="87">
        <v>441</v>
      </c>
      <c r="H36" s="35"/>
      <c r="I36" s="87">
        <v>422</v>
      </c>
      <c r="J36" s="35">
        <v>409</v>
      </c>
      <c r="K36" s="29"/>
      <c r="L36" s="29">
        <f aca="true" t="shared" si="3" ref="L36:L43">SUM(C36:K36)</f>
        <v>2475</v>
      </c>
      <c r="M36" s="29">
        <v>2</v>
      </c>
      <c r="N36" s="29">
        <v>6</v>
      </c>
      <c r="O36" s="29">
        <v>-113</v>
      </c>
      <c r="P36" s="29">
        <v>0</v>
      </c>
    </row>
    <row r="37" spans="1:16" s="25" customFormat="1" ht="15.75">
      <c r="A37" s="20" t="s">
        <v>191</v>
      </c>
      <c r="B37" s="37" t="s">
        <v>30</v>
      </c>
      <c r="C37" s="37"/>
      <c r="D37" s="37">
        <v>380</v>
      </c>
      <c r="E37" s="37"/>
      <c r="F37" s="37">
        <v>411</v>
      </c>
      <c r="G37" s="79">
        <v>418</v>
      </c>
      <c r="H37" s="37">
        <v>375</v>
      </c>
      <c r="I37" s="37"/>
      <c r="J37" s="79">
        <v>439</v>
      </c>
      <c r="K37" s="20">
        <v>335</v>
      </c>
      <c r="L37" s="20">
        <f t="shared" si="3"/>
        <v>2358</v>
      </c>
      <c r="M37" s="20">
        <v>2</v>
      </c>
      <c r="N37" s="20">
        <v>6</v>
      </c>
      <c r="O37" s="20">
        <v>-228</v>
      </c>
      <c r="P37" s="20">
        <v>0</v>
      </c>
    </row>
    <row r="38" spans="1:16" s="34" customFormat="1" ht="15.75">
      <c r="A38" s="29" t="s">
        <v>192</v>
      </c>
      <c r="B38" s="29" t="s">
        <v>19</v>
      </c>
      <c r="C38" s="35"/>
      <c r="D38" s="35">
        <v>375</v>
      </c>
      <c r="E38" s="87">
        <v>419</v>
      </c>
      <c r="F38" s="87">
        <v>411</v>
      </c>
      <c r="G38" s="87">
        <v>421</v>
      </c>
      <c r="H38" s="35">
        <v>395</v>
      </c>
      <c r="I38" s="35"/>
      <c r="J38" s="35">
        <v>390</v>
      </c>
      <c r="K38" s="29"/>
      <c r="L38" s="29">
        <f t="shared" si="3"/>
        <v>2411</v>
      </c>
      <c r="M38" s="29">
        <v>5</v>
      </c>
      <c r="N38" s="29">
        <v>3</v>
      </c>
      <c r="O38" s="29">
        <f>L38-2394</f>
        <v>17</v>
      </c>
      <c r="P38" s="29">
        <v>2</v>
      </c>
    </row>
    <row r="39" spans="1:16" s="25" customFormat="1" ht="15.75">
      <c r="A39" s="20" t="s">
        <v>193</v>
      </c>
      <c r="B39" s="20" t="s">
        <v>24</v>
      </c>
      <c r="C39" s="79">
        <v>402</v>
      </c>
      <c r="D39" s="37">
        <v>362</v>
      </c>
      <c r="E39" s="37"/>
      <c r="F39" s="79">
        <v>430</v>
      </c>
      <c r="G39" s="79">
        <v>439</v>
      </c>
      <c r="H39" s="79">
        <v>405</v>
      </c>
      <c r="I39" s="37"/>
      <c r="J39" s="37">
        <v>382</v>
      </c>
      <c r="K39" s="20"/>
      <c r="L39" s="20">
        <f t="shared" si="3"/>
        <v>2420</v>
      </c>
      <c r="M39" s="20">
        <v>6</v>
      </c>
      <c r="N39" s="20">
        <v>2</v>
      </c>
      <c r="O39" s="20">
        <v>83</v>
      </c>
      <c r="P39" s="20">
        <v>2</v>
      </c>
    </row>
    <row r="40" spans="1:16" s="34" customFormat="1" ht="15.75">
      <c r="A40" s="29" t="s">
        <v>194</v>
      </c>
      <c r="B40" s="29" t="s">
        <v>199</v>
      </c>
      <c r="C40" s="35"/>
      <c r="D40" s="35">
        <v>377</v>
      </c>
      <c r="E40" s="87">
        <v>433</v>
      </c>
      <c r="F40" s="87">
        <v>415</v>
      </c>
      <c r="G40" s="87">
        <v>432</v>
      </c>
      <c r="H40" s="35">
        <v>388</v>
      </c>
      <c r="I40" s="35"/>
      <c r="J40" s="87">
        <v>412</v>
      </c>
      <c r="K40" s="29"/>
      <c r="L40" s="29">
        <f t="shared" si="3"/>
        <v>2457</v>
      </c>
      <c r="M40" s="29">
        <v>6</v>
      </c>
      <c r="N40" s="29">
        <v>2</v>
      </c>
      <c r="O40" s="29">
        <v>63</v>
      </c>
      <c r="P40" s="29">
        <v>2</v>
      </c>
    </row>
    <row r="41" spans="1:16" s="64" customFormat="1" ht="15.75">
      <c r="A41" s="63" t="s">
        <v>195</v>
      </c>
      <c r="B41" s="63" t="s">
        <v>23</v>
      </c>
      <c r="C41" s="69"/>
      <c r="D41" s="69"/>
      <c r="E41" s="69"/>
      <c r="F41" s="69"/>
      <c r="G41" s="69"/>
      <c r="H41" s="69"/>
      <c r="I41" s="69"/>
      <c r="J41" s="69"/>
      <c r="K41" s="63"/>
      <c r="L41" s="63">
        <f t="shared" si="3"/>
        <v>0</v>
      </c>
      <c r="M41" s="63"/>
      <c r="N41" s="63"/>
      <c r="O41" s="63"/>
      <c r="P41" s="63"/>
    </row>
    <row r="42" spans="1:16" s="34" customFormat="1" ht="15.75">
      <c r="A42" s="29" t="s">
        <v>196</v>
      </c>
      <c r="B42" s="29" t="s">
        <v>21</v>
      </c>
      <c r="C42" s="87">
        <v>436</v>
      </c>
      <c r="D42" s="35">
        <v>384</v>
      </c>
      <c r="E42" s="35">
        <v>385</v>
      </c>
      <c r="F42" s="87">
        <v>416</v>
      </c>
      <c r="G42" s="87">
        <v>402</v>
      </c>
      <c r="H42" s="35"/>
      <c r="I42" s="35"/>
      <c r="J42" s="35">
        <v>387</v>
      </c>
      <c r="K42" s="29"/>
      <c r="L42" s="29">
        <f t="shared" si="3"/>
        <v>2410</v>
      </c>
      <c r="M42" s="29">
        <v>3</v>
      </c>
      <c r="N42" s="29">
        <v>5</v>
      </c>
      <c r="O42" s="29">
        <f>L42-2551</f>
        <v>-141</v>
      </c>
      <c r="P42" s="29">
        <v>0</v>
      </c>
    </row>
    <row r="43" spans="1:16" s="25" customFormat="1" ht="15.75">
      <c r="A43" s="20" t="s">
        <v>197</v>
      </c>
      <c r="B43" s="20" t="s">
        <v>25</v>
      </c>
      <c r="C43" s="79">
        <v>427</v>
      </c>
      <c r="D43" s="20">
        <v>392</v>
      </c>
      <c r="E43" s="79">
        <v>436</v>
      </c>
      <c r="F43" s="79">
        <v>434</v>
      </c>
      <c r="G43" s="79">
        <v>417</v>
      </c>
      <c r="H43" s="20">
        <v>352</v>
      </c>
      <c r="I43" s="20"/>
      <c r="J43" s="20"/>
      <c r="K43" s="20"/>
      <c r="L43" s="20">
        <f t="shared" si="3"/>
        <v>2458</v>
      </c>
      <c r="M43" s="20">
        <v>4</v>
      </c>
      <c r="N43" s="20">
        <v>4</v>
      </c>
      <c r="O43" s="20">
        <v>-10</v>
      </c>
      <c r="P43" s="20">
        <v>1</v>
      </c>
    </row>
    <row r="44" spans="1:16" s="34" customFormat="1" ht="15.75">
      <c r="A44" s="29" t="s">
        <v>242</v>
      </c>
      <c r="B44" s="29" t="s">
        <v>17</v>
      </c>
      <c r="C44" s="87">
        <v>420</v>
      </c>
      <c r="D44" s="29">
        <v>370</v>
      </c>
      <c r="E44" s="29">
        <v>404</v>
      </c>
      <c r="F44" s="87">
        <v>409</v>
      </c>
      <c r="G44" s="87">
        <v>413</v>
      </c>
      <c r="H44" s="29"/>
      <c r="I44" s="29"/>
      <c r="J44" s="87">
        <v>410</v>
      </c>
      <c r="K44" s="29"/>
      <c r="L44" s="29">
        <f>SUM(C44:K44)</f>
        <v>2426</v>
      </c>
      <c r="M44" s="29">
        <v>6</v>
      </c>
      <c r="N44" s="29">
        <v>2</v>
      </c>
      <c r="O44" s="29">
        <v>6</v>
      </c>
      <c r="P44" s="29">
        <v>2</v>
      </c>
    </row>
    <row r="45" spans="1:16" s="25" customFormat="1" ht="15.75">
      <c r="A45" s="20" t="s">
        <v>243</v>
      </c>
      <c r="B45" s="20" t="s">
        <v>15</v>
      </c>
      <c r="C45" s="20">
        <v>373</v>
      </c>
      <c r="D45" s="20">
        <v>418</v>
      </c>
      <c r="E45" s="79">
        <v>439</v>
      </c>
      <c r="F45" s="79">
        <v>434</v>
      </c>
      <c r="G45" s="20">
        <v>419</v>
      </c>
      <c r="H45" s="20"/>
      <c r="I45" s="20"/>
      <c r="J45" s="20">
        <v>414</v>
      </c>
      <c r="K45" s="20"/>
      <c r="L45" s="20">
        <f>SUM(C45:K45)</f>
        <v>2497</v>
      </c>
      <c r="M45" s="20">
        <v>2</v>
      </c>
      <c r="N45" s="20">
        <v>6</v>
      </c>
      <c r="O45" s="20">
        <v>-141</v>
      </c>
      <c r="P45" s="20">
        <v>0</v>
      </c>
    </row>
    <row r="46" spans="1:16" s="34" customFormat="1" ht="15.75">
      <c r="A46" s="29" t="s">
        <v>244</v>
      </c>
      <c r="B46" s="29" t="s">
        <v>27</v>
      </c>
      <c r="C46" s="29">
        <v>395</v>
      </c>
      <c r="D46" s="29"/>
      <c r="E46" s="87">
        <v>444</v>
      </c>
      <c r="F46" s="29">
        <v>389</v>
      </c>
      <c r="G46" s="87">
        <v>425</v>
      </c>
      <c r="H46" s="29">
        <v>376</v>
      </c>
      <c r="I46" s="29"/>
      <c r="J46" s="29">
        <v>394</v>
      </c>
      <c r="K46" s="29"/>
      <c r="L46" s="29">
        <f>SUM(C46:K46)</f>
        <v>2423</v>
      </c>
      <c r="M46" s="29">
        <v>2</v>
      </c>
      <c r="N46" s="29">
        <v>6</v>
      </c>
      <c r="O46" s="29">
        <f>L46-2490</f>
        <v>-67</v>
      </c>
      <c r="P46" s="29">
        <v>0</v>
      </c>
    </row>
    <row r="47" spans="1:16" s="25" customFormat="1" ht="16.5" thickBot="1">
      <c r="A47" s="20" t="s">
        <v>245</v>
      </c>
      <c r="B47" s="20" t="s">
        <v>16</v>
      </c>
      <c r="C47" s="79">
        <v>433</v>
      </c>
      <c r="D47" s="20"/>
      <c r="E47" s="20">
        <v>391</v>
      </c>
      <c r="F47" s="20">
        <v>394</v>
      </c>
      <c r="G47" s="79">
        <v>415</v>
      </c>
      <c r="H47" s="20">
        <v>407</v>
      </c>
      <c r="I47" s="20"/>
      <c r="J47" s="20">
        <v>392</v>
      </c>
      <c r="K47" s="20"/>
      <c r="L47" s="20">
        <f>SUM(C47:K47)</f>
        <v>2432</v>
      </c>
      <c r="M47" s="28">
        <v>2</v>
      </c>
      <c r="N47" s="28">
        <v>6</v>
      </c>
      <c r="O47" s="28">
        <v>-105</v>
      </c>
      <c r="P47" s="28">
        <v>0</v>
      </c>
    </row>
    <row r="48" spans="3:16" ht="16.5" thickTop="1">
      <c r="C48" s="169">
        <f>SUM(C31:C47)</f>
        <v>4946</v>
      </c>
      <c r="D48" s="169">
        <f aca="true" t="shared" si="4" ref="D48:J48">SUM(D31:D47)</f>
        <v>4186</v>
      </c>
      <c r="E48" s="169">
        <f t="shared" si="4"/>
        <v>5489</v>
      </c>
      <c r="F48" s="169">
        <f t="shared" si="4"/>
        <v>6659</v>
      </c>
      <c r="G48" s="169">
        <f t="shared" si="4"/>
        <v>6662</v>
      </c>
      <c r="H48" s="169">
        <f t="shared" si="4"/>
        <v>3830</v>
      </c>
      <c r="I48" s="169">
        <f t="shared" si="4"/>
        <v>1215</v>
      </c>
      <c r="J48" s="169">
        <f t="shared" si="4"/>
        <v>5690</v>
      </c>
      <c r="K48" s="169">
        <f>SUM(K31:K47)</f>
        <v>335</v>
      </c>
      <c r="M48" s="1">
        <f>SUM(M31:M47)</f>
        <v>57</v>
      </c>
      <c r="N48" s="1">
        <f>SUM(N31:N47)</f>
        <v>71</v>
      </c>
      <c r="O48" s="1">
        <f>SUM(O31:O47)</f>
        <v>-677</v>
      </c>
      <c r="P48" s="1">
        <f>SUM(P31:P47)</f>
        <v>12</v>
      </c>
    </row>
    <row r="50" spans="2:18" ht="31.5">
      <c r="B50" s="12" t="s">
        <v>152</v>
      </c>
      <c r="C50" s="17">
        <f>AVERAGE(C31:C47)</f>
        <v>412.1666666666667</v>
      </c>
      <c r="D50" s="17">
        <f aca="true" t="shared" si="5" ref="D50:K50">AVERAGE(D31:D47)</f>
        <v>380.54545454545456</v>
      </c>
      <c r="E50" s="17">
        <f t="shared" si="5"/>
        <v>422.2307692307692</v>
      </c>
      <c r="F50" s="17">
        <f t="shared" si="5"/>
        <v>416.1875</v>
      </c>
      <c r="G50" s="17">
        <f t="shared" si="5"/>
        <v>416.375</v>
      </c>
      <c r="H50" s="17">
        <f t="shared" si="5"/>
        <v>383</v>
      </c>
      <c r="I50" s="17">
        <f t="shared" si="5"/>
        <v>405</v>
      </c>
      <c r="J50" s="17">
        <f t="shared" si="5"/>
        <v>406.42857142857144</v>
      </c>
      <c r="K50" s="17">
        <f t="shared" si="5"/>
        <v>335</v>
      </c>
      <c r="L50" s="3" t="s">
        <v>35</v>
      </c>
      <c r="M50" s="185" t="s">
        <v>135</v>
      </c>
      <c r="N50" s="185"/>
      <c r="O50" s="3" t="s">
        <v>36</v>
      </c>
      <c r="P50" s="11" t="s">
        <v>136</v>
      </c>
      <c r="R50" s="14" t="s">
        <v>150</v>
      </c>
    </row>
    <row r="51" spans="12:18" ht="15.75">
      <c r="L51" s="6">
        <f>SUM(L31:L47)</f>
        <v>39012</v>
      </c>
      <c r="M51" s="6">
        <f>SUM(M31:M47)</f>
        <v>57</v>
      </c>
      <c r="N51" s="6">
        <f>SUM(N31:N47)</f>
        <v>71</v>
      </c>
      <c r="O51" s="6">
        <f>SUM(O31:O47)</f>
        <v>-677</v>
      </c>
      <c r="P51" s="6">
        <f>SUM(P31:P47)</f>
        <v>12</v>
      </c>
      <c r="R51" s="2">
        <f>M51-N51</f>
        <v>-14</v>
      </c>
    </row>
    <row r="53" spans="12:13" ht="15.75">
      <c r="L53" s="1" t="s">
        <v>153</v>
      </c>
      <c r="M53" s="19">
        <f>L51/16</f>
        <v>2438.25</v>
      </c>
    </row>
  </sheetData>
  <mergeCells count="11">
    <mergeCell ref="C25:D25"/>
    <mergeCell ref="C1:K1"/>
    <mergeCell ref="M1:N1"/>
    <mergeCell ref="C24:D24"/>
    <mergeCell ref="M21:N21"/>
    <mergeCell ref="C26:D26"/>
    <mergeCell ref="L26:M26"/>
    <mergeCell ref="M50:N50"/>
    <mergeCell ref="F28:G28"/>
    <mergeCell ref="L27:M27"/>
    <mergeCell ref="I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22">
      <selection activeCell="Q41" sqref="Q4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4" width="9.25390625" style="1" bestFit="1" customWidth="1"/>
    <col min="5" max="5" width="14.00390625" style="1" customWidth="1"/>
    <col min="6" max="9" width="9.25390625" style="1" bestFit="1" customWidth="1"/>
    <col min="10" max="10" width="11.2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4.5" customHeight="1" thickBot="1">
      <c r="B2" s="3" t="s">
        <v>29</v>
      </c>
      <c r="C2" s="9" t="s">
        <v>74</v>
      </c>
      <c r="D2" s="9" t="s">
        <v>73</v>
      </c>
      <c r="E2" s="9" t="s">
        <v>72</v>
      </c>
      <c r="F2" s="9" t="s">
        <v>71</v>
      </c>
      <c r="G2" s="9" t="s">
        <v>70</v>
      </c>
      <c r="H2" s="9" t="s">
        <v>69</v>
      </c>
      <c r="I2" s="9"/>
      <c r="J2" s="9" t="s">
        <v>132</v>
      </c>
      <c r="K2" s="9" t="s">
        <v>147</v>
      </c>
      <c r="L2" s="9" t="s">
        <v>124</v>
      </c>
      <c r="M2" s="3" t="s">
        <v>35</v>
      </c>
      <c r="N2" s="3" t="s">
        <v>21</v>
      </c>
      <c r="O2" s="3" t="s">
        <v>34</v>
      </c>
      <c r="P2" s="3" t="s">
        <v>36</v>
      </c>
      <c r="Q2" s="11" t="s">
        <v>134</v>
      </c>
    </row>
    <row r="3" spans="1:17" s="34" customFormat="1" ht="15.75">
      <c r="A3" s="29" t="s">
        <v>0</v>
      </c>
      <c r="B3" s="29" t="s">
        <v>22</v>
      </c>
      <c r="C3" s="48">
        <v>394</v>
      </c>
      <c r="D3" s="74">
        <v>416</v>
      </c>
      <c r="E3" s="48"/>
      <c r="F3" s="74">
        <v>419</v>
      </c>
      <c r="G3" s="48">
        <v>386</v>
      </c>
      <c r="H3" s="48"/>
      <c r="I3" s="48"/>
      <c r="J3" s="48"/>
      <c r="K3" s="74">
        <v>427</v>
      </c>
      <c r="L3" s="78">
        <v>451</v>
      </c>
      <c r="M3" s="32">
        <f>SUM(C3:L3)</f>
        <v>2493</v>
      </c>
      <c r="N3" s="29">
        <v>6</v>
      </c>
      <c r="O3" s="29">
        <v>2</v>
      </c>
      <c r="P3" s="29">
        <f>2493-2445</f>
        <v>48</v>
      </c>
      <c r="Q3" s="29">
        <v>2</v>
      </c>
    </row>
    <row r="4" spans="1:17" s="25" customFormat="1" ht="15.75">
      <c r="A4" s="20" t="s">
        <v>1</v>
      </c>
      <c r="B4" s="20" t="s">
        <v>30</v>
      </c>
      <c r="C4" s="47">
        <v>400</v>
      </c>
      <c r="D4" s="47">
        <v>419</v>
      </c>
      <c r="E4" s="47"/>
      <c r="F4" s="47">
        <v>406</v>
      </c>
      <c r="G4" s="47">
        <v>404</v>
      </c>
      <c r="H4" s="47"/>
      <c r="I4" s="47"/>
      <c r="J4" s="47"/>
      <c r="K4" s="73">
        <v>425</v>
      </c>
      <c r="L4" s="107">
        <v>430</v>
      </c>
      <c r="M4" s="23">
        <f aca="true" t="shared" si="0" ref="M4:M18">SUM(C4:L4)</f>
        <v>2484</v>
      </c>
      <c r="N4" s="20">
        <v>2</v>
      </c>
      <c r="O4" s="20">
        <v>6</v>
      </c>
      <c r="P4" s="20">
        <v>-89</v>
      </c>
      <c r="Q4" s="20">
        <v>0</v>
      </c>
    </row>
    <row r="5" spans="1:17" s="34" customFormat="1" ht="15.75">
      <c r="A5" s="29" t="s">
        <v>2</v>
      </c>
      <c r="B5" s="29" t="s">
        <v>19</v>
      </c>
      <c r="C5" s="74">
        <v>434</v>
      </c>
      <c r="D5" s="74">
        <v>410</v>
      </c>
      <c r="E5" s="48"/>
      <c r="F5" s="48"/>
      <c r="G5" s="48">
        <v>383</v>
      </c>
      <c r="H5" s="48">
        <v>359</v>
      </c>
      <c r="I5" s="48"/>
      <c r="J5" s="48"/>
      <c r="K5" s="74">
        <v>406</v>
      </c>
      <c r="L5" s="78">
        <v>427</v>
      </c>
      <c r="M5" s="32">
        <f t="shared" si="0"/>
        <v>2419</v>
      </c>
      <c r="N5" s="29">
        <v>6</v>
      </c>
      <c r="O5" s="29">
        <v>2</v>
      </c>
      <c r="P5" s="29">
        <v>29</v>
      </c>
      <c r="Q5" s="29">
        <v>2</v>
      </c>
    </row>
    <row r="6" spans="1:17" s="25" customFormat="1" ht="15.75">
      <c r="A6" s="20" t="s">
        <v>3</v>
      </c>
      <c r="B6" s="20" t="s">
        <v>24</v>
      </c>
      <c r="C6" s="73">
        <v>455</v>
      </c>
      <c r="D6" s="73">
        <v>387</v>
      </c>
      <c r="E6" s="47"/>
      <c r="F6" s="73">
        <v>433</v>
      </c>
      <c r="G6" s="47"/>
      <c r="H6" s="47">
        <v>372</v>
      </c>
      <c r="I6" s="47"/>
      <c r="J6" s="47"/>
      <c r="K6" s="73">
        <v>396</v>
      </c>
      <c r="L6" s="107">
        <v>440</v>
      </c>
      <c r="M6" s="23">
        <f t="shared" si="0"/>
        <v>2483</v>
      </c>
      <c r="N6" s="20">
        <v>7</v>
      </c>
      <c r="O6" s="20">
        <v>1</v>
      </c>
      <c r="P6" s="23">
        <v>250</v>
      </c>
      <c r="Q6" s="20">
        <v>2</v>
      </c>
    </row>
    <row r="7" spans="1:17" s="34" customFormat="1" ht="15.75">
      <c r="A7" s="29" t="s">
        <v>4</v>
      </c>
      <c r="B7" s="29" t="s">
        <v>199</v>
      </c>
      <c r="C7" s="74">
        <v>448</v>
      </c>
      <c r="D7" s="48">
        <v>195</v>
      </c>
      <c r="E7" s="48"/>
      <c r="F7" s="74">
        <v>433</v>
      </c>
      <c r="G7" s="48">
        <v>179</v>
      </c>
      <c r="H7" s="48"/>
      <c r="I7" s="48"/>
      <c r="J7" s="48">
        <v>321</v>
      </c>
      <c r="K7" s="48">
        <v>381</v>
      </c>
      <c r="L7" s="78">
        <v>455</v>
      </c>
      <c r="M7" s="32">
        <f t="shared" si="0"/>
        <v>2412</v>
      </c>
      <c r="N7" s="29">
        <v>5</v>
      </c>
      <c r="O7" s="29">
        <v>3</v>
      </c>
      <c r="P7" s="32">
        <v>191</v>
      </c>
      <c r="Q7" s="29">
        <v>2</v>
      </c>
    </row>
    <row r="8" spans="1:17" s="64" customFormat="1" ht="15.75">
      <c r="A8" s="63" t="s">
        <v>5</v>
      </c>
      <c r="B8" s="69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3"/>
      <c r="M8" s="71">
        <f t="shared" si="0"/>
        <v>0</v>
      </c>
      <c r="N8" s="63"/>
      <c r="O8" s="63"/>
      <c r="P8" s="63"/>
      <c r="Q8" s="63"/>
    </row>
    <row r="9" spans="1:17" s="34" customFormat="1" ht="15.75">
      <c r="A9" s="29" t="s">
        <v>6</v>
      </c>
      <c r="B9" s="29" t="s">
        <v>16</v>
      </c>
      <c r="C9" s="48">
        <v>425</v>
      </c>
      <c r="D9" s="48">
        <v>379</v>
      </c>
      <c r="E9" s="48"/>
      <c r="F9" s="74">
        <v>427</v>
      </c>
      <c r="G9" s="48"/>
      <c r="H9" s="48">
        <v>360</v>
      </c>
      <c r="I9" s="48"/>
      <c r="J9" s="48"/>
      <c r="K9" s="74">
        <v>439</v>
      </c>
      <c r="L9" s="78">
        <v>435</v>
      </c>
      <c r="M9" s="32">
        <f t="shared" si="0"/>
        <v>2465</v>
      </c>
      <c r="N9" s="29">
        <v>3</v>
      </c>
      <c r="O9" s="29">
        <v>5</v>
      </c>
      <c r="P9" s="29">
        <f>2465-2548</f>
        <v>-83</v>
      </c>
      <c r="Q9" s="29">
        <v>0</v>
      </c>
    </row>
    <row r="10" spans="1:17" s="34" customFormat="1" ht="15.75">
      <c r="A10" s="29" t="s">
        <v>7</v>
      </c>
      <c r="B10" s="29" t="s">
        <v>25</v>
      </c>
      <c r="C10" s="74">
        <v>428</v>
      </c>
      <c r="D10" s="48">
        <v>414</v>
      </c>
      <c r="E10" s="48"/>
      <c r="F10" s="74">
        <v>453</v>
      </c>
      <c r="G10" s="48">
        <v>393</v>
      </c>
      <c r="H10" s="48"/>
      <c r="I10" s="48"/>
      <c r="J10" s="48"/>
      <c r="K10" s="74">
        <v>436</v>
      </c>
      <c r="L10" s="78">
        <v>450</v>
      </c>
      <c r="M10" s="32">
        <f t="shared" si="0"/>
        <v>2574</v>
      </c>
      <c r="N10" s="29">
        <v>6</v>
      </c>
      <c r="O10" s="29">
        <v>2</v>
      </c>
      <c r="P10" s="29">
        <f>2574-2565</f>
        <v>9</v>
      </c>
      <c r="Q10" s="29">
        <v>2</v>
      </c>
    </row>
    <row r="11" spans="1:17" s="25" customFormat="1" ht="15.75">
      <c r="A11" s="20" t="s">
        <v>8</v>
      </c>
      <c r="B11" s="20" t="s">
        <v>17</v>
      </c>
      <c r="C11" s="73">
        <v>420</v>
      </c>
      <c r="D11" s="73">
        <v>419</v>
      </c>
      <c r="E11" s="47"/>
      <c r="F11" s="47">
        <v>400</v>
      </c>
      <c r="G11" s="47"/>
      <c r="H11" s="47">
        <v>378</v>
      </c>
      <c r="I11" s="47"/>
      <c r="J11" s="47"/>
      <c r="K11" s="73">
        <v>418</v>
      </c>
      <c r="L11" s="39">
        <v>399</v>
      </c>
      <c r="M11" s="23">
        <f t="shared" si="0"/>
        <v>2434</v>
      </c>
      <c r="N11" s="20">
        <v>3</v>
      </c>
      <c r="O11" s="20">
        <v>5</v>
      </c>
      <c r="P11" s="20">
        <v>-106</v>
      </c>
      <c r="Q11" s="20">
        <v>0</v>
      </c>
    </row>
    <row r="12" spans="1:17" s="34" customFormat="1" ht="15.75">
      <c r="A12" s="29" t="s">
        <v>9</v>
      </c>
      <c r="B12" s="29" t="s">
        <v>15</v>
      </c>
      <c r="C12" s="48">
        <v>408</v>
      </c>
      <c r="D12" s="48">
        <v>411</v>
      </c>
      <c r="E12" s="48"/>
      <c r="F12" s="74">
        <v>426</v>
      </c>
      <c r="G12" s="48">
        <v>403</v>
      </c>
      <c r="H12" s="48"/>
      <c r="I12" s="48"/>
      <c r="J12" s="48"/>
      <c r="K12" s="74">
        <v>438</v>
      </c>
      <c r="L12" s="44">
        <v>415</v>
      </c>
      <c r="M12" s="32">
        <f t="shared" si="0"/>
        <v>2501</v>
      </c>
      <c r="N12" s="29">
        <v>4</v>
      </c>
      <c r="O12" s="29">
        <v>4</v>
      </c>
      <c r="P12" s="29">
        <v>19</v>
      </c>
      <c r="Q12" s="29">
        <v>1</v>
      </c>
    </row>
    <row r="13" spans="1:17" s="25" customFormat="1" ht="15.75">
      <c r="A13" s="20" t="s">
        <v>10</v>
      </c>
      <c r="B13" s="20" t="s">
        <v>27</v>
      </c>
      <c r="C13" s="73">
        <v>422</v>
      </c>
      <c r="D13" s="47">
        <v>376</v>
      </c>
      <c r="E13" s="47"/>
      <c r="F13" s="73">
        <v>433</v>
      </c>
      <c r="G13" s="47"/>
      <c r="H13" s="47">
        <v>309</v>
      </c>
      <c r="I13" s="47"/>
      <c r="J13" s="47"/>
      <c r="K13" s="47">
        <v>350</v>
      </c>
      <c r="L13" s="107">
        <v>437</v>
      </c>
      <c r="M13" s="23">
        <f t="shared" si="0"/>
        <v>2327</v>
      </c>
      <c r="N13" s="20">
        <v>3</v>
      </c>
      <c r="O13" s="20">
        <v>5</v>
      </c>
      <c r="P13" s="20">
        <v>-233</v>
      </c>
      <c r="Q13" s="20">
        <v>0</v>
      </c>
    </row>
    <row r="14" spans="1:17" s="34" customFormat="1" ht="15.75">
      <c r="A14" s="29" t="s">
        <v>11</v>
      </c>
      <c r="B14" s="29" t="s">
        <v>32</v>
      </c>
      <c r="C14" s="74">
        <v>451</v>
      </c>
      <c r="D14" s="48">
        <v>409</v>
      </c>
      <c r="E14" s="48"/>
      <c r="F14" s="48">
        <v>416</v>
      </c>
      <c r="G14" s="48">
        <v>413</v>
      </c>
      <c r="H14" s="48"/>
      <c r="I14" s="48"/>
      <c r="J14" s="48"/>
      <c r="K14" s="74">
        <v>446</v>
      </c>
      <c r="L14" s="78">
        <v>454</v>
      </c>
      <c r="M14" s="32">
        <f t="shared" si="0"/>
        <v>2589</v>
      </c>
      <c r="N14" s="29">
        <v>5</v>
      </c>
      <c r="O14" s="29">
        <v>3</v>
      </c>
      <c r="P14" s="32">
        <v>1</v>
      </c>
      <c r="Q14" s="29">
        <v>2</v>
      </c>
    </row>
    <row r="15" spans="1:17" s="25" customFormat="1" ht="15.75">
      <c r="A15" s="20" t="s">
        <v>12</v>
      </c>
      <c r="B15" s="20" t="s">
        <v>28</v>
      </c>
      <c r="C15" s="73">
        <v>436</v>
      </c>
      <c r="D15" s="47">
        <v>416</v>
      </c>
      <c r="E15" s="47"/>
      <c r="F15" s="73">
        <v>443</v>
      </c>
      <c r="G15" s="47"/>
      <c r="H15" s="47">
        <v>384</v>
      </c>
      <c r="I15" s="47"/>
      <c r="J15" s="47"/>
      <c r="K15" s="47">
        <v>425</v>
      </c>
      <c r="L15" s="107">
        <v>438</v>
      </c>
      <c r="M15" s="23">
        <f t="shared" si="0"/>
        <v>2542</v>
      </c>
      <c r="N15" s="20">
        <v>3</v>
      </c>
      <c r="O15" s="20">
        <v>5</v>
      </c>
      <c r="P15" s="20">
        <v>-3</v>
      </c>
      <c r="Q15" s="20">
        <v>0</v>
      </c>
    </row>
    <row r="16" spans="1:17" s="34" customFormat="1" ht="15.75">
      <c r="A16" s="29" t="s">
        <v>13</v>
      </c>
      <c r="B16" s="29" t="s">
        <v>198</v>
      </c>
      <c r="C16" s="48">
        <v>390</v>
      </c>
      <c r="D16" s="48">
        <v>399</v>
      </c>
      <c r="E16" s="48"/>
      <c r="F16" s="74">
        <v>414</v>
      </c>
      <c r="G16" s="74">
        <v>401</v>
      </c>
      <c r="H16" s="48"/>
      <c r="I16" s="48"/>
      <c r="J16" s="48"/>
      <c r="K16" s="48">
        <v>400</v>
      </c>
      <c r="L16" s="78">
        <v>424</v>
      </c>
      <c r="M16" s="32">
        <f>SUM(C16:L16)</f>
        <v>2428</v>
      </c>
      <c r="N16" s="29">
        <v>5</v>
      </c>
      <c r="O16" s="29">
        <v>3</v>
      </c>
      <c r="P16" s="29">
        <v>51</v>
      </c>
      <c r="Q16" s="29">
        <v>2</v>
      </c>
    </row>
    <row r="17" spans="1:17" s="25" customFormat="1" ht="15.75">
      <c r="A17" s="20" t="s">
        <v>14</v>
      </c>
      <c r="B17" s="20" t="s">
        <v>18</v>
      </c>
      <c r="C17" s="47">
        <v>416</v>
      </c>
      <c r="D17" s="47">
        <v>413</v>
      </c>
      <c r="E17" s="47"/>
      <c r="F17" s="73">
        <v>432</v>
      </c>
      <c r="G17" s="47">
        <v>422</v>
      </c>
      <c r="H17" s="47"/>
      <c r="I17" s="47"/>
      <c r="J17" s="47"/>
      <c r="K17" s="47">
        <v>411</v>
      </c>
      <c r="L17" s="107">
        <v>422</v>
      </c>
      <c r="M17" s="23">
        <f>SUM(C17:L17)</f>
        <v>2516</v>
      </c>
      <c r="N17" s="20">
        <v>2</v>
      </c>
      <c r="O17" s="20">
        <v>6</v>
      </c>
      <c r="P17" s="20">
        <v>-73</v>
      </c>
      <c r="Q17" s="20">
        <v>0</v>
      </c>
    </row>
    <row r="18" spans="1:17" s="34" customFormat="1" ht="15.75">
      <c r="A18" s="29" t="s">
        <v>234</v>
      </c>
      <c r="B18" s="29" t="s">
        <v>26</v>
      </c>
      <c r="C18" s="52">
        <v>407</v>
      </c>
      <c r="D18" s="48">
        <v>390</v>
      </c>
      <c r="E18" s="48"/>
      <c r="F18" s="105">
        <v>432</v>
      </c>
      <c r="G18" s="52">
        <v>394</v>
      </c>
      <c r="H18" s="52">
        <v>355</v>
      </c>
      <c r="I18" s="52"/>
      <c r="J18" s="52"/>
      <c r="K18" s="105">
        <v>431</v>
      </c>
      <c r="L18" s="44"/>
      <c r="M18" s="32">
        <f t="shared" si="0"/>
        <v>2409</v>
      </c>
      <c r="N18" s="29">
        <v>2</v>
      </c>
      <c r="O18" s="29">
        <v>6</v>
      </c>
      <c r="P18" s="29">
        <v>-94</v>
      </c>
      <c r="Q18" s="29">
        <v>0</v>
      </c>
    </row>
    <row r="19" spans="1:17" s="70" customFormat="1" ht="16.5" thickBot="1">
      <c r="A19" s="37" t="s">
        <v>235</v>
      </c>
      <c r="B19" s="37" t="s">
        <v>20</v>
      </c>
      <c r="C19" s="134">
        <v>414</v>
      </c>
      <c r="D19" s="134">
        <v>410</v>
      </c>
      <c r="E19" s="53"/>
      <c r="F19" s="53">
        <v>386</v>
      </c>
      <c r="G19" s="53">
        <v>400</v>
      </c>
      <c r="H19" s="53"/>
      <c r="I19" s="53"/>
      <c r="J19" s="53"/>
      <c r="K19" s="53">
        <v>400</v>
      </c>
      <c r="L19" s="138">
        <v>414</v>
      </c>
      <c r="M19" s="123">
        <f>SUM(C19:L19)</f>
        <v>2424</v>
      </c>
      <c r="N19" s="26">
        <v>3</v>
      </c>
      <c r="O19" s="26">
        <v>5</v>
      </c>
      <c r="P19" s="26">
        <v>-25</v>
      </c>
      <c r="Q19" s="26">
        <v>0</v>
      </c>
    </row>
    <row r="20" spans="3:12" ht="16.5" thickTop="1">
      <c r="C20" s="6">
        <f>SUM(C3:C19)</f>
        <v>6748</v>
      </c>
      <c r="D20" s="6">
        <f>SUM(D3:D19)</f>
        <v>6263</v>
      </c>
      <c r="E20" s="6">
        <f aca="true" t="shared" si="1" ref="E20:L20">SUM(E3:E19)</f>
        <v>0</v>
      </c>
      <c r="F20" s="6">
        <f t="shared" si="1"/>
        <v>6353</v>
      </c>
      <c r="G20" s="6">
        <f t="shared" si="1"/>
        <v>4178</v>
      </c>
      <c r="H20" s="6">
        <f t="shared" si="1"/>
        <v>2517</v>
      </c>
      <c r="I20" s="6"/>
      <c r="J20" s="6">
        <f t="shared" si="1"/>
        <v>321</v>
      </c>
      <c r="K20" s="6">
        <f t="shared" si="1"/>
        <v>6629</v>
      </c>
      <c r="L20" s="6">
        <f t="shared" si="1"/>
        <v>6491</v>
      </c>
    </row>
    <row r="21" spans="2:19" ht="36" customHeight="1">
      <c r="B21" s="12" t="s">
        <v>152</v>
      </c>
      <c r="C21" s="17">
        <f>AVERAGE(C3:C19)</f>
        <v>421.75</v>
      </c>
      <c r="D21" s="17">
        <f>D20/15.5</f>
        <v>404.06451612903226</v>
      </c>
      <c r="E21" s="17"/>
      <c r="F21" s="17">
        <f aca="true" t="shared" si="2" ref="F21:L21">AVERAGE(F3:F19)</f>
        <v>423.53333333333336</v>
      </c>
      <c r="G21" s="17">
        <f>G20/10.5</f>
        <v>397.9047619047619</v>
      </c>
      <c r="H21" s="17">
        <f t="shared" si="2"/>
        <v>359.57142857142856</v>
      </c>
      <c r="I21" s="17"/>
      <c r="J21" s="17">
        <f t="shared" si="2"/>
        <v>321</v>
      </c>
      <c r="K21" s="17">
        <f t="shared" si="2"/>
        <v>414.3125</v>
      </c>
      <c r="L21" s="17">
        <f t="shared" si="2"/>
        <v>432.73333333333335</v>
      </c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39500</v>
      </c>
      <c r="N22" s="1">
        <f>SUM(N3:N19)</f>
        <v>65</v>
      </c>
      <c r="O22" s="1">
        <f>SUM(O3:O19)</f>
        <v>63</v>
      </c>
      <c r="P22" s="1">
        <f>SUM(P3:P19)</f>
        <v>-108</v>
      </c>
      <c r="Q22" s="1">
        <f>SUM(Q3:Q19)</f>
        <v>15</v>
      </c>
      <c r="S22" s="2">
        <f>N22-O22</f>
        <v>2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E24" s="20"/>
      <c r="M24" s="1" t="s">
        <v>153</v>
      </c>
      <c r="N24" s="19">
        <f>M22/16</f>
        <v>2468.75</v>
      </c>
    </row>
    <row r="25" spans="3:4" ht="15.75">
      <c r="C25" s="189" t="s">
        <v>158</v>
      </c>
      <c r="D25" s="189"/>
    </row>
    <row r="26" spans="10:14" ht="15.75">
      <c r="J26" s="184" t="s">
        <v>183</v>
      </c>
      <c r="K26" s="184"/>
      <c r="L26" s="12" t="s">
        <v>184</v>
      </c>
      <c r="M26" s="184" t="s">
        <v>150</v>
      </c>
      <c r="N26" s="184"/>
    </row>
    <row r="27" spans="1:14" ht="15.75">
      <c r="A27" s="128" t="s">
        <v>169</v>
      </c>
      <c r="B27" s="129"/>
      <c r="C27" s="128" t="s">
        <v>175</v>
      </c>
      <c r="D27" s="131"/>
      <c r="E27" s="129" t="s">
        <v>167</v>
      </c>
      <c r="F27" s="186" t="s">
        <v>168</v>
      </c>
      <c r="G27" s="186"/>
      <c r="J27" s="1">
        <f>N22+N48</f>
        <v>129</v>
      </c>
      <c r="K27" s="1">
        <f>O22+O48</f>
        <v>127</v>
      </c>
      <c r="L27" s="1">
        <f>Q22+Q48</f>
        <v>31</v>
      </c>
      <c r="M27" s="187">
        <f>J27-K27</f>
        <v>2</v>
      </c>
      <c r="N27" s="187"/>
    </row>
    <row r="28" ht="15.75">
      <c r="F28" s="57"/>
    </row>
    <row r="30" spans="2:17" ht="34.5" customHeight="1" thickBot="1">
      <c r="B30" s="3" t="s">
        <v>29</v>
      </c>
      <c r="C30" s="9" t="s">
        <v>74</v>
      </c>
      <c r="D30" s="9" t="s">
        <v>73</v>
      </c>
      <c r="E30" s="9" t="s">
        <v>72</v>
      </c>
      <c r="F30" s="9" t="s">
        <v>71</v>
      </c>
      <c r="G30" s="9" t="s">
        <v>70</v>
      </c>
      <c r="H30" s="9" t="s">
        <v>69</v>
      </c>
      <c r="I30" s="9" t="s">
        <v>253</v>
      </c>
      <c r="J30" s="9" t="s">
        <v>132</v>
      </c>
      <c r="K30" s="9" t="s">
        <v>147</v>
      </c>
      <c r="L30" s="9" t="s">
        <v>124</v>
      </c>
      <c r="M30" s="3" t="s">
        <v>35</v>
      </c>
      <c r="N30" s="3" t="s">
        <v>21</v>
      </c>
      <c r="O30" s="3" t="s">
        <v>34</v>
      </c>
      <c r="P30" s="3" t="s">
        <v>36</v>
      </c>
      <c r="Q30" s="11" t="s">
        <v>134</v>
      </c>
    </row>
    <row r="31" spans="1:17" s="25" customFormat="1" ht="15.75">
      <c r="A31" s="20" t="s">
        <v>185</v>
      </c>
      <c r="B31" s="20" t="s">
        <v>22</v>
      </c>
      <c r="C31" s="79">
        <v>445</v>
      </c>
      <c r="D31" s="37">
        <v>395</v>
      </c>
      <c r="E31" s="37"/>
      <c r="F31" s="37"/>
      <c r="G31" s="79">
        <v>407</v>
      </c>
      <c r="H31" s="37">
        <v>380</v>
      </c>
      <c r="I31" s="37"/>
      <c r="J31" s="37">
        <v>387</v>
      </c>
      <c r="K31" s="79">
        <v>426</v>
      </c>
      <c r="L31" s="37"/>
      <c r="M31" s="20">
        <f>SUM(C31:L31)</f>
        <v>2440</v>
      </c>
      <c r="N31" s="20">
        <v>3</v>
      </c>
      <c r="O31" s="20">
        <v>5</v>
      </c>
      <c r="P31" s="20">
        <v>-33</v>
      </c>
      <c r="Q31" s="20">
        <v>0</v>
      </c>
    </row>
    <row r="32" spans="1:17" s="34" customFormat="1" ht="15.75">
      <c r="A32" s="29" t="s">
        <v>186</v>
      </c>
      <c r="B32" s="29" t="s">
        <v>30</v>
      </c>
      <c r="C32" s="87">
        <v>453</v>
      </c>
      <c r="D32" s="87">
        <v>425</v>
      </c>
      <c r="E32" s="35"/>
      <c r="F32" s="35">
        <v>394</v>
      </c>
      <c r="G32" s="35">
        <v>414</v>
      </c>
      <c r="H32" s="35">
        <v>402</v>
      </c>
      <c r="I32" s="35"/>
      <c r="J32" s="35"/>
      <c r="K32" s="35">
        <v>407</v>
      </c>
      <c r="L32" s="35"/>
      <c r="M32" s="29">
        <f>SUM(C32:L32)</f>
        <v>2495</v>
      </c>
      <c r="N32" s="29">
        <v>2</v>
      </c>
      <c r="O32" s="29">
        <v>6</v>
      </c>
      <c r="P32" s="29">
        <v>-110</v>
      </c>
      <c r="Q32" s="29">
        <v>0</v>
      </c>
    </row>
    <row r="33" spans="1:17" s="25" customFormat="1" ht="15.75">
      <c r="A33" s="20" t="s">
        <v>187</v>
      </c>
      <c r="B33" s="20" t="s">
        <v>19</v>
      </c>
      <c r="C33" s="79">
        <v>464</v>
      </c>
      <c r="D33" s="37">
        <v>407</v>
      </c>
      <c r="E33" s="37"/>
      <c r="F33" s="79">
        <v>424</v>
      </c>
      <c r="G33" s="37">
        <v>419</v>
      </c>
      <c r="H33" s="37"/>
      <c r="I33" s="37"/>
      <c r="J33" s="37"/>
      <c r="K33" s="79">
        <v>426</v>
      </c>
      <c r="L33" s="37">
        <v>419</v>
      </c>
      <c r="M33" s="20">
        <f>SUM(C33:L33)</f>
        <v>2559</v>
      </c>
      <c r="N33" s="20">
        <v>5</v>
      </c>
      <c r="O33" s="20">
        <v>3</v>
      </c>
      <c r="P33" s="20">
        <f>M33-2459</f>
        <v>100</v>
      </c>
      <c r="Q33" s="20">
        <v>2</v>
      </c>
    </row>
    <row r="34" spans="1:17" s="34" customFormat="1" ht="15.75">
      <c r="A34" s="29" t="s">
        <v>188</v>
      </c>
      <c r="B34" s="29" t="s">
        <v>24</v>
      </c>
      <c r="C34" s="87">
        <v>399</v>
      </c>
      <c r="D34" s="87">
        <v>412</v>
      </c>
      <c r="E34" s="35"/>
      <c r="F34" s="87">
        <v>433</v>
      </c>
      <c r="G34" s="35"/>
      <c r="H34" s="35">
        <v>372</v>
      </c>
      <c r="I34" s="35"/>
      <c r="J34" s="35"/>
      <c r="K34" s="35">
        <v>370</v>
      </c>
      <c r="L34" s="87">
        <v>425</v>
      </c>
      <c r="M34" s="29">
        <f>SUM(C34:L34)</f>
        <v>2411</v>
      </c>
      <c r="N34" s="29">
        <v>6</v>
      </c>
      <c r="O34" s="29">
        <v>2</v>
      </c>
      <c r="P34" s="29">
        <v>96</v>
      </c>
      <c r="Q34" s="29">
        <v>2</v>
      </c>
    </row>
    <row r="35" spans="1:17" s="25" customFormat="1" ht="15.75">
      <c r="A35" s="20" t="s">
        <v>189</v>
      </c>
      <c r="B35" s="20" t="s">
        <v>199</v>
      </c>
      <c r="C35" s="79">
        <v>429</v>
      </c>
      <c r="D35" s="37"/>
      <c r="E35" s="37"/>
      <c r="F35" s="79">
        <v>408</v>
      </c>
      <c r="G35" s="37">
        <v>395</v>
      </c>
      <c r="H35" s="37"/>
      <c r="I35" s="37"/>
      <c r="J35" s="37">
        <v>355</v>
      </c>
      <c r="K35" s="79">
        <v>404</v>
      </c>
      <c r="L35" s="79">
        <v>435</v>
      </c>
      <c r="M35" s="20">
        <f>SUM(C35:L35)</f>
        <v>2426</v>
      </c>
      <c r="N35" s="20">
        <v>6</v>
      </c>
      <c r="O35" s="20">
        <v>2</v>
      </c>
      <c r="P35" s="20">
        <v>22</v>
      </c>
      <c r="Q35" s="20">
        <v>2</v>
      </c>
    </row>
    <row r="36" spans="1:17" s="64" customFormat="1" ht="15.75">
      <c r="A36" s="63" t="s">
        <v>190</v>
      </c>
      <c r="B36" s="69" t="s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3">
        <f aca="true" t="shared" si="3" ref="M36:M46">SUM(C36:L36)</f>
        <v>0</v>
      </c>
      <c r="N36" s="63"/>
      <c r="O36" s="63"/>
      <c r="P36" s="63"/>
      <c r="Q36" s="63"/>
    </row>
    <row r="37" spans="1:17" s="25" customFormat="1" ht="15.75">
      <c r="A37" s="20" t="s">
        <v>191</v>
      </c>
      <c r="B37" s="20" t="s">
        <v>16</v>
      </c>
      <c r="C37" s="79">
        <v>426</v>
      </c>
      <c r="D37" s="79">
        <v>429</v>
      </c>
      <c r="E37" s="37"/>
      <c r="F37" s="79">
        <v>443</v>
      </c>
      <c r="G37" s="37">
        <v>414</v>
      </c>
      <c r="H37" s="37"/>
      <c r="I37" s="37"/>
      <c r="J37" s="37"/>
      <c r="K37" s="37">
        <v>387</v>
      </c>
      <c r="L37" s="37">
        <v>412</v>
      </c>
      <c r="M37" s="20">
        <f t="shared" si="3"/>
        <v>2511</v>
      </c>
      <c r="N37" s="20">
        <v>5</v>
      </c>
      <c r="O37" s="20">
        <v>3</v>
      </c>
      <c r="P37" s="20">
        <v>15</v>
      </c>
      <c r="Q37" s="20">
        <v>2</v>
      </c>
    </row>
    <row r="38" spans="1:17" s="25" customFormat="1" ht="15.75">
      <c r="A38" s="20" t="s">
        <v>192</v>
      </c>
      <c r="B38" s="20" t="s">
        <v>25</v>
      </c>
      <c r="C38" s="37">
        <v>431</v>
      </c>
      <c r="D38" s="37">
        <v>413</v>
      </c>
      <c r="E38" s="37"/>
      <c r="F38" s="79">
        <v>457</v>
      </c>
      <c r="G38" s="37">
        <v>383</v>
      </c>
      <c r="H38" s="37"/>
      <c r="I38" s="37"/>
      <c r="J38" s="37"/>
      <c r="K38" s="79">
        <v>434</v>
      </c>
      <c r="L38" s="79">
        <v>465</v>
      </c>
      <c r="M38" s="20">
        <f t="shared" si="3"/>
        <v>2583</v>
      </c>
      <c r="N38" s="20">
        <v>3</v>
      </c>
      <c r="O38" s="20">
        <v>5</v>
      </c>
      <c r="P38" s="20">
        <v>-17</v>
      </c>
      <c r="Q38" s="20">
        <v>0</v>
      </c>
    </row>
    <row r="39" spans="1:17" s="34" customFormat="1" ht="15.75">
      <c r="A39" s="29" t="s">
        <v>193</v>
      </c>
      <c r="B39" s="29" t="s">
        <v>17</v>
      </c>
      <c r="C39" s="87">
        <v>435</v>
      </c>
      <c r="D39" s="35"/>
      <c r="E39" s="35"/>
      <c r="F39" s="87">
        <v>438</v>
      </c>
      <c r="G39" s="35">
        <v>381</v>
      </c>
      <c r="H39" s="35">
        <v>362</v>
      </c>
      <c r="I39" s="35"/>
      <c r="J39" s="35">
        <v>208</v>
      </c>
      <c r="K39" s="35"/>
      <c r="L39" s="87">
        <v>464</v>
      </c>
      <c r="M39" s="29">
        <f t="shared" si="3"/>
        <v>2288</v>
      </c>
      <c r="N39" s="29">
        <v>3</v>
      </c>
      <c r="O39" s="29">
        <v>5</v>
      </c>
      <c r="P39" s="29">
        <v>-172</v>
      </c>
      <c r="Q39" s="29">
        <v>0</v>
      </c>
    </row>
    <row r="40" spans="1:17" s="25" customFormat="1" ht="15.75">
      <c r="A40" s="20" t="s">
        <v>194</v>
      </c>
      <c r="B40" s="20" t="s">
        <v>15</v>
      </c>
      <c r="C40" s="37"/>
      <c r="D40" s="37">
        <v>388</v>
      </c>
      <c r="E40" s="37"/>
      <c r="F40" s="37">
        <v>401</v>
      </c>
      <c r="G40" s="37"/>
      <c r="H40" s="37">
        <v>343</v>
      </c>
      <c r="I40" s="37"/>
      <c r="J40" s="37">
        <v>317</v>
      </c>
      <c r="K40" s="79">
        <v>414</v>
      </c>
      <c r="L40" s="79">
        <v>439</v>
      </c>
      <c r="M40" s="20">
        <f t="shared" si="3"/>
        <v>2302</v>
      </c>
      <c r="N40" s="20">
        <v>2</v>
      </c>
      <c r="O40" s="20">
        <v>6</v>
      </c>
      <c r="P40" s="20">
        <v>-173</v>
      </c>
      <c r="Q40" s="20">
        <v>0</v>
      </c>
    </row>
    <row r="41" spans="1:17" s="34" customFormat="1" ht="15.75">
      <c r="A41" s="29" t="s">
        <v>195</v>
      </c>
      <c r="B41" s="29" t="s">
        <v>27</v>
      </c>
      <c r="C41" s="29">
        <v>412</v>
      </c>
      <c r="D41" s="29">
        <v>397</v>
      </c>
      <c r="E41" s="29"/>
      <c r="F41" s="87">
        <v>428</v>
      </c>
      <c r="G41" s="87">
        <v>420</v>
      </c>
      <c r="H41" s="29"/>
      <c r="I41" s="29"/>
      <c r="J41" s="29"/>
      <c r="K41" s="29">
        <v>409</v>
      </c>
      <c r="L41" s="87">
        <v>440</v>
      </c>
      <c r="M41" s="29">
        <f t="shared" si="3"/>
        <v>2506</v>
      </c>
      <c r="N41" s="29">
        <v>3</v>
      </c>
      <c r="O41" s="29">
        <v>5</v>
      </c>
      <c r="P41" s="29">
        <f>M41-2548</f>
        <v>-42</v>
      </c>
      <c r="Q41" s="29">
        <v>0</v>
      </c>
    </row>
    <row r="42" spans="1:17" s="25" customFormat="1" ht="15.75">
      <c r="A42" s="20" t="s">
        <v>196</v>
      </c>
      <c r="B42" s="20" t="s">
        <v>32</v>
      </c>
      <c r="C42" s="79">
        <v>466</v>
      </c>
      <c r="D42" s="79">
        <v>461</v>
      </c>
      <c r="E42" s="20"/>
      <c r="F42" s="20">
        <v>397</v>
      </c>
      <c r="G42" s="20"/>
      <c r="H42" s="20">
        <v>397</v>
      </c>
      <c r="I42" s="20"/>
      <c r="J42" s="20"/>
      <c r="K42" s="20">
        <v>386</v>
      </c>
      <c r="L42" s="79">
        <v>444</v>
      </c>
      <c r="M42" s="20">
        <f t="shared" si="3"/>
        <v>2551</v>
      </c>
      <c r="N42" s="20">
        <v>5</v>
      </c>
      <c r="O42" s="20">
        <v>3</v>
      </c>
      <c r="P42" s="20">
        <v>141</v>
      </c>
      <c r="Q42" s="20">
        <v>2</v>
      </c>
    </row>
    <row r="43" spans="1:17" s="34" customFormat="1" ht="15.75">
      <c r="A43" s="29" t="s">
        <v>197</v>
      </c>
      <c r="B43" s="29" t="s">
        <v>28</v>
      </c>
      <c r="C43" s="87">
        <v>428</v>
      </c>
      <c r="D43" s="29">
        <v>396</v>
      </c>
      <c r="E43" s="29"/>
      <c r="F43" s="29">
        <v>402</v>
      </c>
      <c r="G43" s="29">
        <v>405</v>
      </c>
      <c r="H43" s="29"/>
      <c r="I43" s="29"/>
      <c r="J43" s="29"/>
      <c r="K43" s="87">
        <v>419</v>
      </c>
      <c r="L43" s="87">
        <v>434</v>
      </c>
      <c r="M43" s="29">
        <f t="shared" si="3"/>
        <v>2484</v>
      </c>
      <c r="N43" s="29">
        <v>5</v>
      </c>
      <c r="O43" s="29">
        <v>3</v>
      </c>
      <c r="P43" s="29">
        <f>M43-2422</f>
        <v>62</v>
      </c>
      <c r="Q43" s="29">
        <v>2</v>
      </c>
    </row>
    <row r="44" spans="1:17" s="25" customFormat="1" ht="15.75">
      <c r="A44" s="20" t="s">
        <v>242</v>
      </c>
      <c r="B44" s="20" t="s">
        <v>198</v>
      </c>
      <c r="C44" s="79">
        <v>431</v>
      </c>
      <c r="D44" s="79">
        <v>428</v>
      </c>
      <c r="E44" s="20"/>
      <c r="F44" s="20"/>
      <c r="G44" s="79">
        <v>423</v>
      </c>
      <c r="H44" s="20"/>
      <c r="I44" s="20"/>
      <c r="J44" s="20">
        <v>345</v>
      </c>
      <c r="K44" s="20">
        <v>378</v>
      </c>
      <c r="L44" s="79">
        <v>434</v>
      </c>
      <c r="M44" s="20">
        <f t="shared" si="3"/>
        <v>2439</v>
      </c>
      <c r="N44" s="20">
        <v>6</v>
      </c>
      <c r="O44" s="20">
        <v>2</v>
      </c>
      <c r="P44" s="20">
        <v>44</v>
      </c>
      <c r="Q44" s="20">
        <v>2</v>
      </c>
    </row>
    <row r="45" spans="1:17" s="34" customFormat="1" ht="15.75">
      <c r="A45" s="29" t="s">
        <v>243</v>
      </c>
      <c r="B45" s="29" t="s">
        <v>18</v>
      </c>
      <c r="C45" s="29">
        <v>419</v>
      </c>
      <c r="D45" s="29">
        <v>415</v>
      </c>
      <c r="E45" s="29"/>
      <c r="F45" s="29"/>
      <c r="G45" s="87">
        <v>436</v>
      </c>
      <c r="H45" s="29">
        <v>163</v>
      </c>
      <c r="I45" s="29">
        <v>186</v>
      </c>
      <c r="K45" s="29">
        <v>386</v>
      </c>
      <c r="L45" s="87">
        <v>445</v>
      </c>
      <c r="M45" s="29">
        <f t="shared" si="3"/>
        <v>2450</v>
      </c>
      <c r="N45" s="29">
        <v>2</v>
      </c>
      <c r="O45" s="29">
        <v>6</v>
      </c>
      <c r="P45" s="29">
        <f>M45-2539</f>
        <v>-89</v>
      </c>
      <c r="Q45" s="29">
        <v>0</v>
      </c>
    </row>
    <row r="46" spans="1:17" s="25" customFormat="1" ht="15.75">
      <c r="A46" s="20" t="s">
        <v>244</v>
      </c>
      <c r="B46" s="20" t="s">
        <v>26</v>
      </c>
      <c r="C46" s="79">
        <v>465</v>
      </c>
      <c r="D46" s="20">
        <v>414</v>
      </c>
      <c r="E46" s="20"/>
      <c r="F46" s="20"/>
      <c r="G46" s="20">
        <v>392</v>
      </c>
      <c r="H46" s="20"/>
      <c r="I46" s="20">
        <v>389</v>
      </c>
      <c r="J46" s="20"/>
      <c r="K46" s="20">
        <v>416</v>
      </c>
      <c r="L46" s="79">
        <v>417</v>
      </c>
      <c r="M46" s="20">
        <f t="shared" si="3"/>
        <v>2493</v>
      </c>
      <c r="N46" s="20">
        <v>2</v>
      </c>
      <c r="O46" s="20">
        <v>6</v>
      </c>
      <c r="P46" s="20">
        <v>-120</v>
      </c>
      <c r="Q46" s="20">
        <v>0</v>
      </c>
    </row>
    <row r="47" spans="1:17" s="34" customFormat="1" ht="16.5" thickBot="1">
      <c r="A47" s="29" t="s">
        <v>245</v>
      </c>
      <c r="B47" s="35" t="s">
        <v>20</v>
      </c>
      <c r="C47" s="87">
        <v>466</v>
      </c>
      <c r="D47" s="29">
        <v>401</v>
      </c>
      <c r="E47" s="29"/>
      <c r="F47" s="29"/>
      <c r="G47" s="87">
        <v>420</v>
      </c>
      <c r="H47" s="29"/>
      <c r="I47" s="29">
        <v>367</v>
      </c>
      <c r="J47" s="29"/>
      <c r="K47" s="87">
        <v>427</v>
      </c>
      <c r="L47" s="87">
        <v>444</v>
      </c>
      <c r="M47" s="29">
        <f>SUM(C47:L47)</f>
        <v>2525</v>
      </c>
      <c r="N47" s="43">
        <v>6</v>
      </c>
      <c r="O47" s="43">
        <v>2</v>
      </c>
      <c r="P47" s="43">
        <f>M47-2488</f>
        <v>37</v>
      </c>
      <c r="Q47" s="43">
        <v>2</v>
      </c>
    </row>
    <row r="48" spans="3:17" ht="16.5" thickTop="1">
      <c r="C48" s="169">
        <f>SUM(C31:C47)</f>
        <v>6569</v>
      </c>
      <c r="D48" s="169">
        <f aca="true" t="shared" si="4" ref="D48:L48">SUM(D31:D47)</f>
        <v>5781</v>
      </c>
      <c r="E48" s="169">
        <f t="shared" si="4"/>
        <v>0</v>
      </c>
      <c r="F48" s="169">
        <f t="shared" si="4"/>
        <v>4625</v>
      </c>
      <c r="G48" s="169">
        <f t="shared" si="4"/>
        <v>5309</v>
      </c>
      <c r="H48" s="169">
        <f t="shared" si="4"/>
        <v>2419</v>
      </c>
      <c r="I48" s="169">
        <f t="shared" si="4"/>
        <v>942</v>
      </c>
      <c r="J48" s="169">
        <f t="shared" si="4"/>
        <v>1612</v>
      </c>
      <c r="K48" s="169">
        <f t="shared" si="4"/>
        <v>6089</v>
      </c>
      <c r="L48" s="169">
        <f t="shared" si="4"/>
        <v>6117</v>
      </c>
      <c r="N48" s="1">
        <f>SUM(N31:N47)</f>
        <v>64</v>
      </c>
      <c r="O48" s="1">
        <f>SUM(O31:O47)</f>
        <v>64</v>
      </c>
      <c r="P48" s="1">
        <f>SUM(P31:P47)</f>
        <v>-239</v>
      </c>
      <c r="Q48" s="1">
        <f>SUM(Q31:Q47)</f>
        <v>16</v>
      </c>
    </row>
    <row r="50" spans="2:19" ht="31.5">
      <c r="B50" s="12" t="s">
        <v>152</v>
      </c>
      <c r="C50" s="17">
        <f>AVERAGE(C31:C47)</f>
        <v>437.93333333333334</v>
      </c>
      <c r="D50" s="17">
        <f aca="true" t="shared" si="5" ref="D50:L50">AVERAGE(D31:D47)</f>
        <v>412.92857142857144</v>
      </c>
      <c r="E50" s="17"/>
      <c r="F50" s="17">
        <f t="shared" si="5"/>
        <v>420.45454545454544</v>
      </c>
      <c r="G50" s="17">
        <f t="shared" si="5"/>
        <v>408.38461538461536</v>
      </c>
      <c r="H50" s="17">
        <f>H48/6.5</f>
        <v>372.15384615384613</v>
      </c>
      <c r="I50" s="17">
        <f>I48/2.5</f>
        <v>376.8</v>
      </c>
      <c r="J50" s="17">
        <f t="shared" si="5"/>
        <v>322.4</v>
      </c>
      <c r="K50" s="17">
        <f t="shared" si="5"/>
        <v>405.93333333333334</v>
      </c>
      <c r="L50" s="17">
        <f t="shared" si="5"/>
        <v>436.92857142857144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39463</v>
      </c>
      <c r="N51" s="6">
        <f>SUM(N31:N47)</f>
        <v>64</v>
      </c>
      <c r="O51" s="6">
        <f>SUM(O31:O47)</f>
        <v>64</v>
      </c>
      <c r="P51" s="6">
        <f>SUM(P31:P47)</f>
        <v>-239</v>
      </c>
      <c r="Q51" s="6">
        <f>SUM(Q31:Q47)</f>
        <v>16</v>
      </c>
      <c r="S51" s="2">
        <f>N51-O51</f>
        <v>0</v>
      </c>
    </row>
    <row r="53" spans="13:14" ht="15.75">
      <c r="M53" s="1" t="s">
        <v>153</v>
      </c>
      <c r="N53" s="19">
        <f>M51/16</f>
        <v>2466.4375</v>
      </c>
    </row>
  </sheetData>
  <mergeCells count="11">
    <mergeCell ref="C24:D24"/>
    <mergeCell ref="C25:D25"/>
    <mergeCell ref="C1:L1"/>
    <mergeCell ref="N1:O1"/>
    <mergeCell ref="C23:D23"/>
    <mergeCell ref="N21:O21"/>
    <mergeCell ref="N50:O50"/>
    <mergeCell ref="F27:G27"/>
    <mergeCell ref="J26:K26"/>
    <mergeCell ref="M26:N26"/>
    <mergeCell ref="M27:N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3"/>
  <sheetViews>
    <sheetView zoomScale="90" zoomScaleNormal="90" workbookViewId="0" topLeftCell="A19">
      <selection activeCell="Q51" sqref="Q5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0.875" style="1" customWidth="1"/>
    <col min="10" max="10" width="9.125" style="1" customWidth="1"/>
    <col min="11" max="11" width="14.875" style="1" bestFit="1" customWidth="1"/>
    <col min="12" max="12" width="11.25390625" style="1" customWidth="1"/>
    <col min="13" max="13" width="10.375" style="1" customWidth="1"/>
    <col min="14" max="14" width="13.375" style="1" customWidth="1"/>
    <col min="15" max="15" width="10.875" style="1" customWidth="1"/>
    <col min="17" max="17" width="15.75390625" style="0" bestFit="1" customWidth="1"/>
  </cols>
  <sheetData>
    <row r="1" spans="3:18" ht="15.75">
      <c r="C1" s="185" t="s">
        <v>31</v>
      </c>
      <c r="D1" s="185"/>
      <c r="E1" s="185"/>
      <c r="F1" s="185"/>
      <c r="G1" s="185"/>
      <c r="H1" s="185"/>
      <c r="I1" s="185"/>
      <c r="J1" s="185"/>
      <c r="L1" s="185" t="s">
        <v>33</v>
      </c>
      <c r="M1" s="185"/>
      <c r="P1" s="2"/>
      <c r="Q1" s="2"/>
      <c r="R1" s="2"/>
    </row>
    <row r="2" spans="2:15" ht="48" thickBot="1">
      <c r="B2" s="3" t="s">
        <v>29</v>
      </c>
      <c r="C2" s="9" t="s">
        <v>78</v>
      </c>
      <c r="D2" s="9" t="s">
        <v>79</v>
      </c>
      <c r="E2" s="9" t="s">
        <v>80</v>
      </c>
      <c r="F2" s="9" t="s">
        <v>239</v>
      </c>
      <c r="G2" s="9" t="s">
        <v>82</v>
      </c>
      <c r="H2" s="9" t="s">
        <v>83</v>
      </c>
      <c r="I2" s="9" t="s">
        <v>145</v>
      </c>
      <c r="J2" s="9" t="s">
        <v>208</v>
      </c>
      <c r="K2" s="12" t="s">
        <v>35</v>
      </c>
      <c r="L2" s="12" t="s">
        <v>19</v>
      </c>
      <c r="M2" s="12" t="s">
        <v>34</v>
      </c>
      <c r="N2" s="12" t="s">
        <v>36</v>
      </c>
      <c r="O2" s="11" t="s">
        <v>134</v>
      </c>
    </row>
    <row r="3" spans="1:15" s="25" customFormat="1" ht="15.75">
      <c r="A3" s="20" t="s">
        <v>0</v>
      </c>
      <c r="B3" s="20" t="s">
        <v>199</v>
      </c>
      <c r="C3" s="73">
        <v>415</v>
      </c>
      <c r="D3" s="73">
        <v>421</v>
      </c>
      <c r="E3" s="73">
        <v>393</v>
      </c>
      <c r="F3" s="47"/>
      <c r="G3" s="47">
        <v>371</v>
      </c>
      <c r="H3" s="73">
        <v>398</v>
      </c>
      <c r="I3" s="47"/>
      <c r="J3" s="62">
        <v>345</v>
      </c>
      <c r="K3" s="23">
        <f aca="true" t="shared" si="0" ref="K3:K19">SUM(C3:J3)</f>
        <v>2343</v>
      </c>
      <c r="L3" s="20">
        <v>6</v>
      </c>
      <c r="M3" s="20">
        <v>2</v>
      </c>
      <c r="N3" s="20">
        <v>139</v>
      </c>
      <c r="O3" s="20">
        <v>2</v>
      </c>
    </row>
    <row r="4" spans="1:15" s="64" customFormat="1" ht="15.75">
      <c r="A4" s="63" t="s">
        <v>1</v>
      </c>
      <c r="B4" s="63" t="s">
        <v>23</v>
      </c>
      <c r="C4" s="81"/>
      <c r="D4" s="81"/>
      <c r="E4" s="81"/>
      <c r="F4" s="81"/>
      <c r="G4" s="81"/>
      <c r="H4" s="81"/>
      <c r="I4" s="81"/>
      <c r="J4" s="83"/>
      <c r="K4" s="71">
        <f t="shared" si="0"/>
        <v>0</v>
      </c>
      <c r="L4" s="63"/>
      <c r="M4" s="63"/>
      <c r="N4" s="63"/>
      <c r="O4" s="63"/>
    </row>
    <row r="5" spans="1:15" s="25" customFormat="1" ht="15.75">
      <c r="A5" s="20" t="s">
        <v>2</v>
      </c>
      <c r="B5" s="20" t="s">
        <v>21</v>
      </c>
      <c r="C5" s="47">
        <v>375</v>
      </c>
      <c r="D5" s="73">
        <v>435</v>
      </c>
      <c r="E5" s="73">
        <v>409</v>
      </c>
      <c r="F5" s="47"/>
      <c r="G5" s="47">
        <v>377</v>
      </c>
      <c r="H5" s="47">
        <v>397</v>
      </c>
      <c r="I5" s="47"/>
      <c r="J5" s="39">
        <v>397</v>
      </c>
      <c r="K5" s="23">
        <f t="shared" si="0"/>
        <v>2390</v>
      </c>
      <c r="L5" s="20">
        <v>2</v>
      </c>
      <c r="M5" s="20">
        <v>6</v>
      </c>
      <c r="N5" s="20">
        <v>-29</v>
      </c>
      <c r="O5" s="20">
        <v>0</v>
      </c>
    </row>
    <row r="6" spans="1:15" s="34" customFormat="1" ht="15.75">
      <c r="A6" s="29" t="s">
        <v>3</v>
      </c>
      <c r="B6" s="29" t="s">
        <v>25</v>
      </c>
      <c r="C6" s="48">
        <v>365</v>
      </c>
      <c r="D6" s="74">
        <v>402</v>
      </c>
      <c r="E6" s="48">
        <v>379</v>
      </c>
      <c r="F6" s="48"/>
      <c r="G6" s="48"/>
      <c r="H6" s="48">
        <v>388</v>
      </c>
      <c r="I6" s="74">
        <v>414</v>
      </c>
      <c r="J6" s="44">
        <v>373</v>
      </c>
      <c r="K6" s="32">
        <f t="shared" si="0"/>
        <v>2321</v>
      </c>
      <c r="L6" s="29">
        <v>2</v>
      </c>
      <c r="M6" s="29">
        <v>6</v>
      </c>
      <c r="N6" s="32">
        <v>-77</v>
      </c>
      <c r="O6" s="29">
        <v>0</v>
      </c>
    </row>
    <row r="7" spans="1:15" s="25" customFormat="1" ht="15.75">
      <c r="A7" s="20" t="s">
        <v>4</v>
      </c>
      <c r="B7" s="37" t="s">
        <v>17</v>
      </c>
      <c r="C7" s="47"/>
      <c r="D7" s="73">
        <v>414</v>
      </c>
      <c r="E7" s="73">
        <v>393</v>
      </c>
      <c r="F7" s="47"/>
      <c r="G7" s="47">
        <v>378</v>
      </c>
      <c r="H7" s="73">
        <v>414</v>
      </c>
      <c r="I7" s="73">
        <v>396</v>
      </c>
      <c r="J7" s="39">
        <v>386</v>
      </c>
      <c r="K7" s="23">
        <f t="shared" si="0"/>
        <v>2381</v>
      </c>
      <c r="L7" s="20">
        <v>4</v>
      </c>
      <c r="M7" s="20">
        <v>4</v>
      </c>
      <c r="N7" s="20">
        <v>-20</v>
      </c>
      <c r="O7" s="20">
        <v>1</v>
      </c>
    </row>
    <row r="8" spans="1:15" s="34" customFormat="1" ht="15.75">
      <c r="A8" s="29" t="s">
        <v>5</v>
      </c>
      <c r="B8" s="29" t="s">
        <v>15</v>
      </c>
      <c r="C8" s="48">
        <v>392</v>
      </c>
      <c r="D8" s="48">
        <v>384</v>
      </c>
      <c r="E8" s="48">
        <v>376</v>
      </c>
      <c r="F8" s="48"/>
      <c r="G8" s="48"/>
      <c r="H8" s="74">
        <v>436</v>
      </c>
      <c r="I8" s="74">
        <v>418</v>
      </c>
      <c r="J8" s="44">
        <v>404</v>
      </c>
      <c r="K8" s="32">
        <f t="shared" si="0"/>
        <v>2410</v>
      </c>
      <c r="L8" s="29">
        <v>2</v>
      </c>
      <c r="M8" s="29">
        <v>6</v>
      </c>
      <c r="N8" s="32">
        <f>K8-2506</f>
        <v>-96</v>
      </c>
      <c r="O8" s="29">
        <v>0</v>
      </c>
    </row>
    <row r="9" spans="1:15" s="25" customFormat="1" ht="15.75">
      <c r="A9" s="20" t="s">
        <v>6</v>
      </c>
      <c r="B9" s="20" t="s">
        <v>27</v>
      </c>
      <c r="C9" s="47">
        <v>384</v>
      </c>
      <c r="D9" s="47">
        <v>400</v>
      </c>
      <c r="E9" s="47"/>
      <c r="F9" s="47"/>
      <c r="G9" s="47">
        <v>384</v>
      </c>
      <c r="H9" s="73">
        <v>408</v>
      </c>
      <c r="I9" s="73">
        <v>422</v>
      </c>
      <c r="J9" s="39">
        <v>400</v>
      </c>
      <c r="K9" s="23">
        <f t="shared" si="0"/>
        <v>2398</v>
      </c>
      <c r="L9" s="20">
        <v>2</v>
      </c>
      <c r="M9" s="20">
        <v>6</v>
      </c>
      <c r="N9" s="20">
        <v>-191</v>
      </c>
      <c r="O9" s="20">
        <v>0</v>
      </c>
    </row>
    <row r="10" spans="1:15" s="34" customFormat="1" ht="15.75">
      <c r="A10" s="29" t="s">
        <v>7</v>
      </c>
      <c r="B10" s="29" t="s">
        <v>32</v>
      </c>
      <c r="C10" s="74">
        <v>400</v>
      </c>
      <c r="D10" s="74">
        <v>421</v>
      </c>
      <c r="E10" s="74">
        <v>393</v>
      </c>
      <c r="F10" s="48"/>
      <c r="G10" s="48"/>
      <c r="H10" s="74">
        <v>432</v>
      </c>
      <c r="I10" s="48">
        <v>376</v>
      </c>
      <c r="J10" s="44">
        <v>393</v>
      </c>
      <c r="K10" s="32">
        <f t="shared" si="0"/>
        <v>2415</v>
      </c>
      <c r="L10" s="29">
        <v>6</v>
      </c>
      <c r="M10" s="29">
        <v>2</v>
      </c>
      <c r="N10" s="29">
        <v>4</v>
      </c>
      <c r="O10" s="29">
        <v>2</v>
      </c>
    </row>
    <row r="11" spans="1:15" s="25" customFormat="1" ht="15.75">
      <c r="A11" s="20" t="s">
        <v>8</v>
      </c>
      <c r="B11" s="20" t="s">
        <v>28</v>
      </c>
      <c r="C11" s="47">
        <v>378</v>
      </c>
      <c r="D11" s="73">
        <v>432</v>
      </c>
      <c r="E11" s="47"/>
      <c r="F11" s="47"/>
      <c r="G11" s="47">
        <v>388</v>
      </c>
      <c r="H11" s="47">
        <v>373</v>
      </c>
      <c r="I11" s="47">
        <v>379</v>
      </c>
      <c r="J11" s="107">
        <v>404</v>
      </c>
      <c r="K11" s="23">
        <f t="shared" si="0"/>
        <v>2354</v>
      </c>
      <c r="L11" s="20">
        <v>2</v>
      </c>
      <c r="M11" s="20">
        <v>6</v>
      </c>
      <c r="N11" s="23">
        <v>-12</v>
      </c>
      <c r="O11" s="20">
        <v>0</v>
      </c>
    </row>
    <row r="12" spans="1:15" s="34" customFormat="1" ht="15.75">
      <c r="A12" s="29" t="s">
        <v>9</v>
      </c>
      <c r="B12" s="29" t="s">
        <v>198</v>
      </c>
      <c r="C12" s="48">
        <v>343</v>
      </c>
      <c r="D12" s="74">
        <v>433</v>
      </c>
      <c r="E12" s="48">
        <v>381</v>
      </c>
      <c r="F12" s="48"/>
      <c r="G12" s="74">
        <v>398</v>
      </c>
      <c r="H12" s="48">
        <v>390</v>
      </c>
      <c r="I12" s="48"/>
      <c r="J12" s="78">
        <v>401</v>
      </c>
      <c r="K12" s="32">
        <f t="shared" si="0"/>
        <v>2346</v>
      </c>
      <c r="L12" s="29">
        <v>5</v>
      </c>
      <c r="M12" s="29">
        <v>3</v>
      </c>
      <c r="N12" s="29">
        <v>36</v>
      </c>
      <c r="O12" s="29">
        <v>2</v>
      </c>
    </row>
    <row r="13" spans="1:15" s="25" customFormat="1" ht="15.75">
      <c r="A13" s="20" t="s">
        <v>10</v>
      </c>
      <c r="B13" s="20" t="s">
        <v>18</v>
      </c>
      <c r="C13" s="47"/>
      <c r="D13" s="73">
        <v>435</v>
      </c>
      <c r="E13" s="47">
        <v>395</v>
      </c>
      <c r="F13" s="47"/>
      <c r="G13" s="47">
        <v>403</v>
      </c>
      <c r="H13" s="73">
        <v>437</v>
      </c>
      <c r="I13" s="47">
        <v>384</v>
      </c>
      <c r="J13" s="39">
        <v>398</v>
      </c>
      <c r="K13" s="23">
        <f t="shared" si="0"/>
        <v>2452</v>
      </c>
      <c r="L13" s="20">
        <v>2</v>
      </c>
      <c r="M13" s="20">
        <v>6</v>
      </c>
      <c r="N13" s="20">
        <v>-35</v>
      </c>
      <c r="O13" s="20">
        <v>0</v>
      </c>
    </row>
    <row r="14" spans="1:15" s="34" customFormat="1" ht="15.75">
      <c r="A14" s="29" t="s">
        <v>11</v>
      </c>
      <c r="B14" s="29" t="s">
        <v>26</v>
      </c>
      <c r="C14" s="52">
        <v>393</v>
      </c>
      <c r="D14" s="105">
        <v>426</v>
      </c>
      <c r="E14" s="48"/>
      <c r="F14" s="48"/>
      <c r="G14" s="52">
        <v>411</v>
      </c>
      <c r="H14" s="105">
        <v>428</v>
      </c>
      <c r="I14" s="105">
        <v>449</v>
      </c>
      <c r="J14" s="44">
        <v>378</v>
      </c>
      <c r="K14" s="32">
        <f t="shared" si="0"/>
        <v>2485</v>
      </c>
      <c r="L14" s="29">
        <v>3</v>
      </c>
      <c r="M14" s="29">
        <v>5</v>
      </c>
      <c r="N14" s="29">
        <v>-15</v>
      </c>
      <c r="O14" s="29">
        <v>0</v>
      </c>
    </row>
    <row r="15" spans="1:15" s="25" customFormat="1" ht="15.75">
      <c r="A15" s="20" t="s">
        <v>12</v>
      </c>
      <c r="B15" s="20" t="s">
        <v>20</v>
      </c>
      <c r="C15" s="47">
        <v>368</v>
      </c>
      <c r="D15" s="73">
        <v>420</v>
      </c>
      <c r="E15" s="47"/>
      <c r="F15" s="47"/>
      <c r="G15" s="47">
        <v>389</v>
      </c>
      <c r="H15" s="73">
        <v>410</v>
      </c>
      <c r="I15" s="47">
        <v>409</v>
      </c>
      <c r="J15" s="39">
        <v>409</v>
      </c>
      <c r="K15" s="23">
        <f t="shared" si="0"/>
        <v>2405</v>
      </c>
      <c r="L15" s="20">
        <v>2</v>
      </c>
      <c r="M15" s="20">
        <v>6</v>
      </c>
      <c r="N15" s="20">
        <v>-99</v>
      </c>
      <c r="O15" s="20">
        <v>0</v>
      </c>
    </row>
    <row r="16" spans="1:15" s="34" customFormat="1" ht="15.75">
      <c r="A16" s="29" t="s">
        <v>13</v>
      </c>
      <c r="B16" s="29" t="s">
        <v>22</v>
      </c>
      <c r="C16" s="48">
        <v>399</v>
      </c>
      <c r="D16" s="48"/>
      <c r="E16" s="48"/>
      <c r="F16" s="48">
        <v>335</v>
      </c>
      <c r="G16" s="48">
        <v>414</v>
      </c>
      <c r="H16" s="48">
        <v>406</v>
      </c>
      <c r="I16" s="74">
        <v>462</v>
      </c>
      <c r="J16" s="44">
        <v>364</v>
      </c>
      <c r="K16" s="32">
        <f t="shared" si="0"/>
        <v>2380</v>
      </c>
      <c r="L16" s="29">
        <v>1</v>
      </c>
      <c r="M16" s="29">
        <v>7</v>
      </c>
      <c r="N16" s="32">
        <v>-203</v>
      </c>
      <c r="O16" s="29">
        <v>0</v>
      </c>
    </row>
    <row r="17" spans="1:15" s="25" customFormat="1" ht="15.75">
      <c r="A17" s="20" t="s">
        <v>14</v>
      </c>
      <c r="B17" s="20" t="s">
        <v>30</v>
      </c>
      <c r="C17" s="47">
        <v>358</v>
      </c>
      <c r="D17" s="47">
        <v>406</v>
      </c>
      <c r="E17" s="47"/>
      <c r="F17" s="47"/>
      <c r="G17" s="47">
        <v>364</v>
      </c>
      <c r="H17" s="73">
        <v>408</v>
      </c>
      <c r="I17" s="47">
        <v>404</v>
      </c>
      <c r="J17" s="39">
        <v>361</v>
      </c>
      <c r="K17" s="32">
        <f t="shared" si="0"/>
        <v>2301</v>
      </c>
      <c r="L17" s="20">
        <v>1</v>
      </c>
      <c r="M17" s="20">
        <v>7</v>
      </c>
      <c r="N17" s="23">
        <v>-239</v>
      </c>
      <c r="O17" s="20">
        <v>0</v>
      </c>
    </row>
    <row r="18" spans="1:15" s="25" customFormat="1" ht="15.75">
      <c r="A18" s="20" t="s">
        <v>234</v>
      </c>
      <c r="B18" s="20" t="s">
        <v>16</v>
      </c>
      <c r="C18" s="47">
        <v>365</v>
      </c>
      <c r="D18" s="47">
        <v>406</v>
      </c>
      <c r="E18" s="47"/>
      <c r="F18" s="47"/>
      <c r="G18" s="73">
        <v>426</v>
      </c>
      <c r="H18" s="47">
        <v>405</v>
      </c>
      <c r="I18" s="73">
        <v>419</v>
      </c>
      <c r="J18" s="39">
        <v>393</v>
      </c>
      <c r="K18" s="32">
        <f t="shared" si="0"/>
        <v>2414</v>
      </c>
      <c r="L18" s="20">
        <v>2</v>
      </c>
      <c r="M18" s="20">
        <v>6</v>
      </c>
      <c r="N18" s="23">
        <v>-68</v>
      </c>
      <c r="O18" s="20">
        <v>0</v>
      </c>
    </row>
    <row r="19" spans="1:15" s="34" customFormat="1" ht="16.5" thickBot="1">
      <c r="A19" s="29" t="s">
        <v>235</v>
      </c>
      <c r="B19" s="29" t="s">
        <v>24</v>
      </c>
      <c r="C19" s="50"/>
      <c r="D19" s="135">
        <v>397</v>
      </c>
      <c r="E19" s="50">
        <v>366</v>
      </c>
      <c r="F19" s="50"/>
      <c r="G19" s="50">
        <v>381</v>
      </c>
      <c r="H19" s="135">
        <v>412</v>
      </c>
      <c r="I19" s="135">
        <v>400</v>
      </c>
      <c r="J19" s="41">
        <v>369</v>
      </c>
      <c r="K19" s="46">
        <f t="shared" si="0"/>
        <v>2325</v>
      </c>
      <c r="L19" s="43">
        <v>3</v>
      </c>
      <c r="M19" s="43">
        <v>5</v>
      </c>
      <c r="N19" s="43">
        <v>-43</v>
      </c>
      <c r="O19" s="43">
        <v>0</v>
      </c>
    </row>
    <row r="20" spans="3:10" ht="16.5" thickTop="1">
      <c r="C20" s="6">
        <f>SUM(C3:C19)</f>
        <v>4935</v>
      </c>
      <c r="D20" s="6">
        <f>SUM(D3:D19)</f>
        <v>6232</v>
      </c>
      <c r="E20" s="6">
        <f aca="true" t="shared" si="1" ref="E20:J20">SUM(E3:E19)</f>
        <v>3485</v>
      </c>
      <c r="F20" s="6">
        <f t="shared" si="1"/>
        <v>335</v>
      </c>
      <c r="G20" s="6">
        <f t="shared" si="1"/>
        <v>5084</v>
      </c>
      <c r="H20" s="6">
        <f t="shared" si="1"/>
        <v>6542</v>
      </c>
      <c r="I20" s="6">
        <f t="shared" si="1"/>
        <v>5332</v>
      </c>
      <c r="J20" s="6">
        <f t="shared" si="1"/>
        <v>6175</v>
      </c>
    </row>
    <row r="21" spans="2:17" ht="33" customHeight="1">
      <c r="B21" s="12" t="s">
        <v>152</v>
      </c>
      <c r="C21" s="17">
        <f>AVERAGE(C3:C19)</f>
        <v>379.61538461538464</v>
      </c>
      <c r="D21" s="17">
        <f aca="true" t="shared" si="2" ref="D21:J21">AVERAGE(D3:D19)</f>
        <v>415.46666666666664</v>
      </c>
      <c r="E21" s="17">
        <f t="shared" si="2"/>
        <v>387.22222222222223</v>
      </c>
      <c r="F21" s="17">
        <f t="shared" si="2"/>
        <v>335</v>
      </c>
      <c r="G21" s="17">
        <f t="shared" si="2"/>
        <v>391.0769230769231</v>
      </c>
      <c r="H21" s="17">
        <f t="shared" si="2"/>
        <v>408.875</v>
      </c>
      <c r="I21" s="17">
        <f t="shared" si="2"/>
        <v>410.15384615384613</v>
      </c>
      <c r="J21" s="17">
        <f t="shared" si="2"/>
        <v>385.9375</v>
      </c>
      <c r="K21" s="3" t="s">
        <v>35</v>
      </c>
      <c r="L21" s="185" t="s">
        <v>135</v>
      </c>
      <c r="M21" s="185"/>
      <c r="N21" s="3" t="s">
        <v>36</v>
      </c>
      <c r="O21" s="11" t="s">
        <v>136</v>
      </c>
      <c r="Q21" s="14" t="s">
        <v>150</v>
      </c>
    </row>
    <row r="22" spans="11:17" ht="15.75">
      <c r="K22" s="6">
        <f>SUM(K3:K19)</f>
        <v>38120</v>
      </c>
      <c r="L22" s="1">
        <f>SUM(L3:L19)</f>
        <v>45</v>
      </c>
      <c r="M22" s="1">
        <f>SUM(M3:M19)</f>
        <v>83</v>
      </c>
      <c r="N22" s="1">
        <f>SUM(N3:N19)</f>
        <v>-948</v>
      </c>
      <c r="O22" s="1">
        <f>SUM(O3:O19)</f>
        <v>7</v>
      </c>
      <c r="Q22" s="2">
        <f>L22-M22</f>
        <v>-38</v>
      </c>
    </row>
    <row r="24" spans="3:12" ht="15.75">
      <c r="C24" s="193" t="s">
        <v>48</v>
      </c>
      <c r="D24" s="193"/>
      <c r="K24" s="1" t="s">
        <v>153</v>
      </c>
      <c r="L24" s="19">
        <f>SUM(K3:K19)/16</f>
        <v>2382.5</v>
      </c>
    </row>
    <row r="25" spans="3:4" ht="15.75">
      <c r="C25" s="188" t="s">
        <v>157</v>
      </c>
      <c r="D25" s="188"/>
    </row>
    <row r="26" spans="3:13" ht="15.75">
      <c r="C26" s="189" t="s">
        <v>158</v>
      </c>
      <c r="D26" s="189"/>
      <c r="I26" s="184" t="s">
        <v>183</v>
      </c>
      <c r="J26" s="184"/>
      <c r="K26" s="12" t="s">
        <v>184</v>
      </c>
      <c r="L26" s="191" t="s">
        <v>150</v>
      </c>
      <c r="M26" s="191"/>
    </row>
    <row r="27" spans="9:13" ht="15.75">
      <c r="I27" s="1">
        <f>L22+L48</f>
        <v>84</v>
      </c>
      <c r="J27" s="1">
        <f>M22+M48</f>
        <v>172</v>
      </c>
      <c r="K27" s="1">
        <f>O22+O48</f>
        <v>9</v>
      </c>
      <c r="L27" s="187">
        <f>I27-J27</f>
        <v>-88</v>
      </c>
      <c r="M27" s="187"/>
    </row>
    <row r="28" spans="1:6" ht="15.75">
      <c r="A28" s="128" t="s">
        <v>169</v>
      </c>
      <c r="B28" s="129"/>
      <c r="C28" s="129" t="s">
        <v>176</v>
      </c>
      <c r="D28" s="129" t="s">
        <v>177</v>
      </c>
      <c r="E28" s="130" t="s">
        <v>168</v>
      </c>
      <c r="F28" s="132"/>
    </row>
    <row r="29" ht="15.75">
      <c r="F29" s="57"/>
    </row>
    <row r="30" spans="2:15" ht="48" thickBot="1">
      <c r="B30" s="3" t="s">
        <v>29</v>
      </c>
      <c r="C30" s="9" t="s">
        <v>78</v>
      </c>
      <c r="D30" s="9" t="s">
        <v>79</v>
      </c>
      <c r="E30" s="9" t="s">
        <v>80</v>
      </c>
      <c r="F30" s="9" t="s">
        <v>239</v>
      </c>
      <c r="G30" s="9" t="s">
        <v>82</v>
      </c>
      <c r="H30" s="9" t="s">
        <v>83</v>
      </c>
      <c r="I30" s="9" t="s">
        <v>145</v>
      </c>
      <c r="J30" s="9" t="s">
        <v>208</v>
      </c>
      <c r="K30" s="12" t="s">
        <v>35</v>
      </c>
      <c r="L30" s="12" t="s">
        <v>19</v>
      </c>
      <c r="M30" s="12" t="s">
        <v>34</v>
      </c>
      <c r="N30" s="12" t="s">
        <v>36</v>
      </c>
      <c r="O30" s="11" t="s">
        <v>134</v>
      </c>
    </row>
    <row r="31" spans="1:15" s="34" customFormat="1" ht="15.75">
      <c r="A31" s="29" t="s">
        <v>185</v>
      </c>
      <c r="B31" s="29" t="s">
        <v>199</v>
      </c>
      <c r="C31" s="35">
        <v>358</v>
      </c>
      <c r="D31" s="87">
        <v>431</v>
      </c>
      <c r="E31" s="35"/>
      <c r="F31" s="35"/>
      <c r="G31" s="87">
        <v>422</v>
      </c>
      <c r="H31" s="35">
        <v>393</v>
      </c>
      <c r="I31" s="87">
        <v>404</v>
      </c>
      <c r="J31" s="35">
        <v>352</v>
      </c>
      <c r="K31" s="29">
        <f>SUM(C31:J31)</f>
        <v>2360</v>
      </c>
      <c r="L31" s="29">
        <v>3</v>
      </c>
      <c r="M31" s="29">
        <v>5</v>
      </c>
      <c r="N31" s="29">
        <v>-32</v>
      </c>
      <c r="O31" s="29">
        <v>0</v>
      </c>
    </row>
    <row r="32" spans="1:15" s="64" customFormat="1" ht="15.75">
      <c r="A32" s="63" t="s">
        <v>186</v>
      </c>
      <c r="B32" s="63" t="s">
        <v>23</v>
      </c>
      <c r="C32" s="69"/>
      <c r="D32" s="69"/>
      <c r="E32" s="69"/>
      <c r="F32" s="69"/>
      <c r="G32" s="69"/>
      <c r="H32" s="69"/>
      <c r="I32" s="69"/>
      <c r="J32" s="69"/>
      <c r="K32" s="63">
        <f>SUM(C32:J32)</f>
        <v>0</v>
      </c>
      <c r="L32" s="63"/>
      <c r="M32" s="63"/>
      <c r="N32" s="63"/>
      <c r="O32" s="63"/>
    </row>
    <row r="33" spans="1:15" s="34" customFormat="1" ht="15.75">
      <c r="A33" s="29" t="s">
        <v>187</v>
      </c>
      <c r="B33" s="29" t="s">
        <v>21</v>
      </c>
      <c r="C33" s="87">
        <v>413</v>
      </c>
      <c r="D33" s="87">
        <v>426</v>
      </c>
      <c r="E33" s="35">
        <v>370</v>
      </c>
      <c r="F33" s="35"/>
      <c r="G33" s="35">
        <v>388</v>
      </c>
      <c r="H33" s="87">
        <v>435</v>
      </c>
      <c r="I33" s="35">
        <v>427</v>
      </c>
      <c r="J33" s="35"/>
      <c r="K33" s="29">
        <f>SUM(C33:J33)</f>
        <v>2459</v>
      </c>
      <c r="L33" s="29">
        <v>3</v>
      </c>
      <c r="M33" s="29">
        <v>5</v>
      </c>
      <c r="N33" s="29">
        <v>-100</v>
      </c>
      <c r="O33" s="29">
        <v>0</v>
      </c>
    </row>
    <row r="34" spans="1:15" s="25" customFormat="1" ht="15.75">
      <c r="A34" s="20" t="s">
        <v>188</v>
      </c>
      <c r="B34" s="20" t="s">
        <v>25</v>
      </c>
      <c r="C34" s="37">
        <v>396</v>
      </c>
      <c r="D34" s="79">
        <v>425</v>
      </c>
      <c r="E34" s="37">
        <v>376</v>
      </c>
      <c r="F34" s="37"/>
      <c r="G34" s="79">
        <v>419</v>
      </c>
      <c r="H34" s="37">
        <v>388</v>
      </c>
      <c r="I34" s="79">
        <v>413</v>
      </c>
      <c r="J34" s="37"/>
      <c r="K34" s="20">
        <f>SUM(C34:J34)</f>
        <v>2417</v>
      </c>
      <c r="L34" s="20">
        <v>3</v>
      </c>
      <c r="M34" s="20">
        <v>5</v>
      </c>
      <c r="N34" s="20">
        <v>-34</v>
      </c>
      <c r="O34" s="20">
        <v>0</v>
      </c>
    </row>
    <row r="35" spans="1:15" s="34" customFormat="1" ht="15.75">
      <c r="A35" s="29" t="s">
        <v>189</v>
      </c>
      <c r="B35" s="35" t="s">
        <v>17</v>
      </c>
      <c r="C35" s="35">
        <v>346</v>
      </c>
      <c r="D35" s="87">
        <v>429</v>
      </c>
      <c r="E35" s="35"/>
      <c r="F35" s="35"/>
      <c r="G35" s="35">
        <v>333</v>
      </c>
      <c r="H35" s="35">
        <v>402</v>
      </c>
      <c r="I35" s="87">
        <v>441</v>
      </c>
      <c r="J35" s="35">
        <v>374</v>
      </c>
      <c r="K35" s="29">
        <f>SUM(C35:J35)</f>
        <v>2325</v>
      </c>
      <c r="L35" s="29">
        <v>2</v>
      </c>
      <c r="M35" s="29">
        <v>6</v>
      </c>
      <c r="N35" s="29">
        <f>K35-2506</f>
        <v>-181</v>
      </c>
      <c r="O35" s="29">
        <v>0</v>
      </c>
    </row>
    <row r="36" spans="1:15" s="25" customFormat="1" ht="15.75">
      <c r="A36" s="20" t="s">
        <v>190</v>
      </c>
      <c r="B36" s="20" t="s">
        <v>15</v>
      </c>
      <c r="C36" s="37"/>
      <c r="D36" s="79">
        <v>445</v>
      </c>
      <c r="E36" s="37">
        <v>383</v>
      </c>
      <c r="F36" s="37"/>
      <c r="G36" s="79">
        <v>416</v>
      </c>
      <c r="H36" s="79">
        <v>422</v>
      </c>
      <c r="I36" s="37">
        <v>412</v>
      </c>
      <c r="J36" s="37">
        <v>409</v>
      </c>
      <c r="K36" s="20">
        <f aca="true" t="shared" si="3" ref="K36:K46">SUM(C36:J36)</f>
        <v>2487</v>
      </c>
      <c r="L36" s="20">
        <v>3</v>
      </c>
      <c r="M36" s="20">
        <v>5</v>
      </c>
      <c r="N36" s="20">
        <v>-37</v>
      </c>
      <c r="O36" s="20">
        <v>0</v>
      </c>
    </row>
    <row r="37" spans="1:15" s="34" customFormat="1" ht="15.75">
      <c r="A37" s="29" t="s">
        <v>191</v>
      </c>
      <c r="B37" s="29" t="s">
        <v>27</v>
      </c>
      <c r="C37" s="35">
        <v>385</v>
      </c>
      <c r="D37" s="87">
        <v>436</v>
      </c>
      <c r="E37" s="35"/>
      <c r="F37" s="35"/>
      <c r="G37" s="35">
        <v>387</v>
      </c>
      <c r="H37" s="35">
        <v>394</v>
      </c>
      <c r="I37" s="35">
        <v>400</v>
      </c>
      <c r="J37" s="35">
        <v>384</v>
      </c>
      <c r="K37" s="29">
        <f t="shared" si="3"/>
        <v>2386</v>
      </c>
      <c r="L37" s="29">
        <v>1</v>
      </c>
      <c r="M37" s="29">
        <v>7</v>
      </c>
      <c r="N37" s="29">
        <f>K37-2517</f>
        <v>-131</v>
      </c>
      <c r="O37" s="29">
        <v>0</v>
      </c>
    </row>
    <row r="38" spans="1:15" s="25" customFormat="1" ht="15.75">
      <c r="A38" s="20" t="s">
        <v>192</v>
      </c>
      <c r="B38" s="20" t="s">
        <v>32</v>
      </c>
      <c r="C38" s="37">
        <v>378</v>
      </c>
      <c r="D38" s="79">
        <v>418</v>
      </c>
      <c r="E38" s="37">
        <v>404</v>
      </c>
      <c r="F38" s="37"/>
      <c r="G38" s="79">
        <v>414</v>
      </c>
      <c r="H38" s="79">
        <v>404</v>
      </c>
      <c r="I38" s="37">
        <v>200</v>
      </c>
      <c r="J38" s="37">
        <v>176</v>
      </c>
      <c r="K38" s="20">
        <f t="shared" si="3"/>
        <v>2394</v>
      </c>
      <c r="L38" s="20">
        <v>3</v>
      </c>
      <c r="M38" s="20">
        <v>5</v>
      </c>
      <c r="N38" s="20">
        <v>-17</v>
      </c>
      <c r="O38" s="20">
        <v>0</v>
      </c>
    </row>
    <row r="39" spans="1:15" s="34" customFormat="1" ht="15.75">
      <c r="A39" s="29" t="s">
        <v>193</v>
      </c>
      <c r="B39" s="29" t="s">
        <v>28</v>
      </c>
      <c r="C39" s="35"/>
      <c r="D39" s="87">
        <v>418</v>
      </c>
      <c r="E39" s="87">
        <v>410</v>
      </c>
      <c r="F39" s="35"/>
      <c r="G39" s="35">
        <v>367</v>
      </c>
      <c r="H39" s="35">
        <v>370</v>
      </c>
      <c r="I39" s="87">
        <v>404</v>
      </c>
      <c r="J39" s="35">
        <v>311</v>
      </c>
      <c r="K39" s="29">
        <f t="shared" si="3"/>
        <v>2280</v>
      </c>
      <c r="L39" s="29">
        <v>3</v>
      </c>
      <c r="M39" s="29">
        <v>5</v>
      </c>
      <c r="N39" s="29">
        <v>-203</v>
      </c>
      <c r="O39" s="29">
        <v>0</v>
      </c>
    </row>
    <row r="40" spans="1:15" s="25" customFormat="1" ht="15.75">
      <c r="A40" s="20" t="s">
        <v>194</v>
      </c>
      <c r="B40" s="20" t="s">
        <v>198</v>
      </c>
      <c r="C40" s="79">
        <v>408</v>
      </c>
      <c r="D40" s="37">
        <v>404</v>
      </c>
      <c r="E40" s="37">
        <v>376</v>
      </c>
      <c r="F40" s="37"/>
      <c r="G40" s="37">
        <v>381</v>
      </c>
      <c r="H40" s="79">
        <v>427</v>
      </c>
      <c r="I40" s="79">
        <v>435</v>
      </c>
      <c r="J40" s="37"/>
      <c r="K40" s="20">
        <f t="shared" si="3"/>
        <v>2431</v>
      </c>
      <c r="L40" s="20">
        <v>3</v>
      </c>
      <c r="M40" s="20">
        <v>5</v>
      </c>
      <c r="N40" s="20">
        <v>-18</v>
      </c>
      <c r="O40" s="20">
        <v>0</v>
      </c>
    </row>
    <row r="41" spans="1:15" s="34" customFormat="1" ht="15.75">
      <c r="A41" s="29" t="s">
        <v>195</v>
      </c>
      <c r="B41" s="29" t="s">
        <v>18</v>
      </c>
      <c r="C41" s="29">
        <v>398</v>
      </c>
      <c r="D41" s="87">
        <v>446</v>
      </c>
      <c r="E41" s="29">
        <v>386</v>
      </c>
      <c r="F41" s="29"/>
      <c r="G41" s="29"/>
      <c r="H41" s="87">
        <v>408</v>
      </c>
      <c r="I41" s="87">
        <v>447</v>
      </c>
      <c r="J41" s="29">
        <v>387</v>
      </c>
      <c r="K41" s="29">
        <f t="shared" si="3"/>
        <v>2472</v>
      </c>
      <c r="L41" s="29">
        <v>3</v>
      </c>
      <c r="M41" s="29">
        <v>5</v>
      </c>
      <c r="N41" s="29">
        <v>-5</v>
      </c>
      <c r="O41" s="29">
        <v>0</v>
      </c>
    </row>
    <row r="42" spans="1:15" s="25" customFormat="1" ht="15.75">
      <c r="A42" s="20" t="s">
        <v>196</v>
      </c>
      <c r="B42" s="20" t="s">
        <v>26</v>
      </c>
      <c r="C42" s="20">
        <v>376</v>
      </c>
      <c r="D42" s="79">
        <v>432</v>
      </c>
      <c r="E42" s="20"/>
      <c r="F42" s="20"/>
      <c r="G42" s="20">
        <v>371</v>
      </c>
      <c r="H42" s="20">
        <v>408</v>
      </c>
      <c r="I42" s="79">
        <v>442</v>
      </c>
      <c r="J42" s="20">
        <v>373</v>
      </c>
      <c r="K42" s="20">
        <f t="shared" si="3"/>
        <v>2402</v>
      </c>
      <c r="L42" s="20">
        <v>2</v>
      </c>
      <c r="M42" s="20">
        <v>6</v>
      </c>
      <c r="N42" s="20">
        <f>K42-2540</f>
        <v>-138</v>
      </c>
      <c r="O42" s="20">
        <v>0</v>
      </c>
    </row>
    <row r="43" spans="1:15" s="34" customFormat="1" ht="15.75">
      <c r="A43" s="29" t="s">
        <v>197</v>
      </c>
      <c r="B43" s="29" t="s">
        <v>20</v>
      </c>
      <c r="C43" s="29">
        <v>383</v>
      </c>
      <c r="D43" s="87">
        <v>414</v>
      </c>
      <c r="E43" s="29">
        <v>373</v>
      </c>
      <c r="F43" s="29">
        <v>357</v>
      </c>
      <c r="G43" s="29"/>
      <c r="H43" s="87">
        <v>434</v>
      </c>
      <c r="I43" s="29"/>
      <c r="J43" s="29">
        <v>344</v>
      </c>
      <c r="K43" s="29">
        <f t="shared" si="3"/>
        <v>2305</v>
      </c>
      <c r="L43" s="29">
        <v>2</v>
      </c>
      <c r="M43" s="29">
        <v>6</v>
      </c>
      <c r="N43" s="29">
        <f>K43-2571</f>
        <v>-266</v>
      </c>
      <c r="O43" s="29">
        <v>0</v>
      </c>
    </row>
    <row r="44" spans="1:15" s="25" customFormat="1" ht="15.75">
      <c r="A44" s="20" t="s">
        <v>242</v>
      </c>
      <c r="B44" s="20" t="s">
        <v>22</v>
      </c>
      <c r="C44" s="20">
        <v>378</v>
      </c>
      <c r="D44" s="79">
        <v>441</v>
      </c>
      <c r="E44" s="20">
        <v>369</v>
      </c>
      <c r="F44" s="20"/>
      <c r="G44" s="20"/>
      <c r="H44" s="20">
        <v>414</v>
      </c>
      <c r="I44" s="20">
        <v>411</v>
      </c>
      <c r="J44" s="20">
        <v>403</v>
      </c>
      <c r="K44" s="20">
        <f t="shared" si="3"/>
        <v>2416</v>
      </c>
      <c r="L44" s="20">
        <v>1</v>
      </c>
      <c r="M44" s="20">
        <v>7</v>
      </c>
      <c r="N44" s="20">
        <f>K44-2533</f>
        <v>-117</v>
      </c>
      <c r="O44" s="20">
        <v>0</v>
      </c>
    </row>
    <row r="45" spans="1:15" s="34" customFormat="1" ht="15.75">
      <c r="A45" s="29" t="s">
        <v>243</v>
      </c>
      <c r="B45" s="29" t="s">
        <v>30</v>
      </c>
      <c r="C45" s="29">
        <v>413</v>
      </c>
      <c r="D45" s="29">
        <v>382</v>
      </c>
      <c r="E45" s="29">
        <v>387</v>
      </c>
      <c r="F45" s="29"/>
      <c r="G45" s="29">
        <v>377</v>
      </c>
      <c r="H45" s="29"/>
      <c r="I45" s="87">
        <v>424</v>
      </c>
      <c r="J45" s="29">
        <v>366</v>
      </c>
      <c r="K45" s="29">
        <f t="shared" si="3"/>
        <v>2349</v>
      </c>
      <c r="L45" s="29">
        <v>1</v>
      </c>
      <c r="M45" s="29">
        <v>7</v>
      </c>
      <c r="N45" s="29">
        <f>K45-2562</f>
        <v>-213</v>
      </c>
      <c r="O45" s="29">
        <v>0</v>
      </c>
    </row>
    <row r="46" spans="1:15" s="34" customFormat="1" ht="15.75">
      <c r="A46" s="29" t="s">
        <v>244</v>
      </c>
      <c r="B46" s="29" t="s">
        <v>16</v>
      </c>
      <c r="C46" s="29">
        <v>364</v>
      </c>
      <c r="D46" s="87">
        <v>408</v>
      </c>
      <c r="E46" s="29">
        <v>379</v>
      </c>
      <c r="F46" s="29"/>
      <c r="G46" s="29">
        <v>367</v>
      </c>
      <c r="H46" s="29">
        <v>393</v>
      </c>
      <c r="I46" s="29">
        <v>402</v>
      </c>
      <c r="J46" s="29"/>
      <c r="K46" s="29">
        <f t="shared" si="3"/>
        <v>2313</v>
      </c>
      <c r="L46" s="29">
        <v>1</v>
      </c>
      <c r="M46" s="29">
        <v>7</v>
      </c>
      <c r="N46" s="29">
        <v>-243</v>
      </c>
      <c r="O46" s="29">
        <v>0</v>
      </c>
    </row>
    <row r="47" spans="1:15" s="25" customFormat="1" ht="16.5" thickBot="1">
      <c r="A47" s="20" t="s">
        <v>245</v>
      </c>
      <c r="B47" s="20" t="s">
        <v>24</v>
      </c>
      <c r="C47" s="20">
        <v>395</v>
      </c>
      <c r="D47" s="79">
        <v>432</v>
      </c>
      <c r="E47" s="20">
        <v>398</v>
      </c>
      <c r="F47" s="20"/>
      <c r="G47" s="20">
        <v>353</v>
      </c>
      <c r="H47" s="79">
        <v>426</v>
      </c>
      <c r="I47" s="20"/>
      <c r="J47" s="79">
        <v>421</v>
      </c>
      <c r="K47" s="20">
        <f>SUM(C47:J47)</f>
        <v>2425</v>
      </c>
      <c r="L47" s="28">
        <v>5</v>
      </c>
      <c r="M47" s="28">
        <v>3</v>
      </c>
      <c r="N47" s="28">
        <v>30</v>
      </c>
      <c r="O47" s="28">
        <v>2</v>
      </c>
    </row>
    <row r="48" spans="3:15" ht="16.5" thickTop="1">
      <c r="C48" s="169">
        <f>SUM(C31:C47)</f>
        <v>5391</v>
      </c>
      <c r="D48" s="169">
        <f aca="true" t="shared" si="4" ref="D48:J48">SUM(D31:D47)</f>
        <v>6787</v>
      </c>
      <c r="E48" s="169">
        <f t="shared" si="4"/>
        <v>4611</v>
      </c>
      <c r="F48" s="169">
        <f t="shared" si="4"/>
        <v>357</v>
      </c>
      <c r="G48" s="169">
        <f t="shared" si="4"/>
        <v>4995</v>
      </c>
      <c r="H48" s="169">
        <f t="shared" si="4"/>
        <v>6118</v>
      </c>
      <c r="I48" s="169">
        <f t="shared" si="4"/>
        <v>5662</v>
      </c>
      <c r="J48" s="169">
        <f t="shared" si="4"/>
        <v>4300</v>
      </c>
      <c r="L48" s="1">
        <f>SUM(L31:L47)</f>
        <v>39</v>
      </c>
      <c r="M48" s="1">
        <f>SUM(M31:M47)</f>
        <v>89</v>
      </c>
      <c r="N48" s="1">
        <f>SUM(N31:N47)</f>
        <v>-1705</v>
      </c>
      <c r="O48" s="1">
        <f>SUM(O31:O47)</f>
        <v>2</v>
      </c>
    </row>
    <row r="50" spans="2:17" ht="31.5">
      <c r="B50" s="12" t="s">
        <v>152</v>
      </c>
      <c r="C50" s="17">
        <f>AVERAGE(C31:C47)</f>
        <v>385.07142857142856</v>
      </c>
      <c r="D50" s="17">
        <f aca="true" t="shared" si="5" ref="D50:J50">AVERAGE(D31:D47)</f>
        <v>424.1875</v>
      </c>
      <c r="E50" s="17">
        <f t="shared" si="5"/>
        <v>384.25</v>
      </c>
      <c r="F50" s="17">
        <f t="shared" si="5"/>
        <v>357</v>
      </c>
      <c r="G50" s="17">
        <f t="shared" si="5"/>
        <v>384.2307692307692</v>
      </c>
      <c r="H50" s="17">
        <f t="shared" si="5"/>
        <v>407.8666666666667</v>
      </c>
      <c r="I50" s="17">
        <f>I48/13.5</f>
        <v>419.4074074074074</v>
      </c>
      <c r="J50" s="17">
        <f>J48/11.5</f>
        <v>373.9130434782609</v>
      </c>
      <c r="K50" s="3" t="s">
        <v>35</v>
      </c>
      <c r="L50" s="185" t="s">
        <v>135</v>
      </c>
      <c r="M50" s="185"/>
      <c r="N50" s="3" t="s">
        <v>36</v>
      </c>
      <c r="O50" s="11" t="s">
        <v>136</v>
      </c>
      <c r="Q50" s="14" t="s">
        <v>150</v>
      </c>
    </row>
    <row r="51" spans="11:17" ht="15.75">
      <c r="K51" s="6">
        <f>SUM(K31:K47)</f>
        <v>38221</v>
      </c>
      <c r="L51" s="6">
        <f>SUM(L31:L47)</f>
        <v>39</v>
      </c>
      <c r="M51" s="6">
        <f>SUM(M31:M47)</f>
        <v>89</v>
      </c>
      <c r="N51" s="6">
        <f>SUM(N31:N47)</f>
        <v>-1705</v>
      </c>
      <c r="O51" s="6">
        <f>SUM(O31:O47)</f>
        <v>2</v>
      </c>
      <c r="Q51" s="2">
        <f>L51-M51</f>
        <v>-50</v>
      </c>
    </row>
    <row r="53" spans="11:12" ht="15.75">
      <c r="K53" s="1" t="s">
        <v>153</v>
      </c>
      <c r="L53" s="19">
        <f>SUM(K31:K47)/16</f>
        <v>2388.8125</v>
      </c>
    </row>
  </sheetData>
  <mergeCells count="10">
    <mergeCell ref="L50:M50"/>
    <mergeCell ref="C1:J1"/>
    <mergeCell ref="L1:M1"/>
    <mergeCell ref="C24:D24"/>
    <mergeCell ref="L21:M21"/>
    <mergeCell ref="L27:M27"/>
    <mergeCell ref="I26:J26"/>
    <mergeCell ref="C25:D25"/>
    <mergeCell ref="C26:D26"/>
    <mergeCell ref="L26:M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workbookViewId="0" topLeftCell="A19">
      <selection activeCell="P51" sqref="P5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7" width="9.125" style="1" customWidth="1"/>
    <col min="8" max="8" width="10.75390625" style="1" customWidth="1"/>
    <col min="9" max="9" width="12.00390625" style="1" customWidth="1"/>
    <col min="10" max="10" width="10.375" style="1" bestFit="1" customWidth="1"/>
    <col min="11" max="13" width="9.125" style="1" customWidth="1"/>
    <col min="14" max="14" width="11.375" style="1" customWidth="1"/>
    <col min="15" max="15" width="18.25390625" style="1" bestFit="1" customWidth="1"/>
    <col min="16" max="16" width="11.25390625" style="1" customWidth="1"/>
    <col min="17" max="17" width="10.375" style="1" customWidth="1"/>
    <col min="18" max="18" width="13.375" style="1" customWidth="1"/>
    <col min="19" max="19" width="11.00390625" style="1" customWidth="1"/>
    <col min="21" max="21" width="15.75390625" style="0" bestFit="1" customWidth="1"/>
  </cols>
  <sheetData>
    <row r="1" spans="3:22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P1" s="185" t="s">
        <v>33</v>
      </c>
      <c r="Q1" s="185"/>
      <c r="T1" s="2"/>
      <c r="U1" s="2"/>
      <c r="V1" s="2"/>
    </row>
    <row r="2" spans="2:19" ht="50.25" customHeight="1" thickBot="1">
      <c r="B2" s="3" t="s">
        <v>29</v>
      </c>
      <c r="C2" s="9" t="s">
        <v>103</v>
      </c>
      <c r="D2" s="9" t="s">
        <v>104</v>
      </c>
      <c r="E2" s="9" t="s">
        <v>105</v>
      </c>
      <c r="F2" s="9" t="s">
        <v>106</v>
      </c>
      <c r="G2" s="9" t="s">
        <v>137</v>
      </c>
      <c r="H2" s="9" t="s">
        <v>236</v>
      </c>
      <c r="I2" s="9" t="s">
        <v>107</v>
      </c>
      <c r="J2" s="9" t="s">
        <v>122</v>
      </c>
      <c r="K2" s="9" t="s">
        <v>121</v>
      </c>
      <c r="L2" s="9" t="s">
        <v>154</v>
      </c>
      <c r="M2" s="9" t="s">
        <v>241</v>
      </c>
      <c r="N2" s="9" t="s">
        <v>217</v>
      </c>
      <c r="O2" s="12" t="s">
        <v>35</v>
      </c>
      <c r="P2" s="12" t="s">
        <v>24</v>
      </c>
      <c r="Q2" s="12" t="s">
        <v>34</v>
      </c>
      <c r="R2" s="12" t="s">
        <v>36</v>
      </c>
      <c r="S2" s="11" t="s">
        <v>134</v>
      </c>
    </row>
    <row r="3" spans="1:19" s="25" customFormat="1" ht="15.75">
      <c r="A3" s="20" t="s">
        <v>0</v>
      </c>
      <c r="B3" s="20" t="s">
        <v>16</v>
      </c>
      <c r="C3" s="73">
        <v>420</v>
      </c>
      <c r="D3" s="47"/>
      <c r="E3" s="47">
        <v>390</v>
      </c>
      <c r="F3" s="73">
        <v>397</v>
      </c>
      <c r="G3" s="47"/>
      <c r="H3" s="47"/>
      <c r="I3" s="47">
        <v>376</v>
      </c>
      <c r="J3" s="47">
        <v>380</v>
      </c>
      <c r="K3" s="47"/>
      <c r="L3" s="47">
        <v>160</v>
      </c>
      <c r="M3" s="47"/>
      <c r="N3" s="39">
        <v>187</v>
      </c>
      <c r="O3" s="23">
        <f>SUM(C3:N3)</f>
        <v>2310</v>
      </c>
      <c r="P3" s="20">
        <v>2</v>
      </c>
      <c r="Q3" s="20">
        <v>6</v>
      </c>
      <c r="R3" s="20">
        <v>-117</v>
      </c>
      <c r="S3" s="20">
        <v>0</v>
      </c>
    </row>
    <row r="4" spans="1:19" s="34" customFormat="1" ht="15.75">
      <c r="A4" s="29" t="s">
        <v>1</v>
      </c>
      <c r="B4" s="29" t="s">
        <v>199</v>
      </c>
      <c r="C4" s="74">
        <v>389</v>
      </c>
      <c r="D4" s="48"/>
      <c r="E4" s="74">
        <v>398</v>
      </c>
      <c r="F4" s="48">
        <v>160</v>
      </c>
      <c r="G4" s="48">
        <v>182</v>
      </c>
      <c r="H4" s="48"/>
      <c r="I4" s="74">
        <v>408</v>
      </c>
      <c r="J4" s="48">
        <v>378</v>
      </c>
      <c r="K4" s="48"/>
      <c r="L4" s="48"/>
      <c r="M4" s="48"/>
      <c r="N4" s="44">
        <v>335</v>
      </c>
      <c r="O4" s="32">
        <f aca="true" t="shared" si="0" ref="O4:O19">SUM(C4:N4)</f>
        <v>2250</v>
      </c>
      <c r="P4" s="29">
        <v>3</v>
      </c>
      <c r="Q4" s="29">
        <v>5</v>
      </c>
      <c r="R4" s="29">
        <v>-119</v>
      </c>
      <c r="S4" s="29">
        <v>0</v>
      </c>
    </row>
    <row r="5" spans="1:19" s="64" customFormat="1" ht="15.75">
      <c r="A5" s="63" t="s">
        <v>2</v>
      </c>
      <c r="B5" s="63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3"/>
      <c r="O5" s="71">
        <f t="shared" si="0"/>
        <v>0</v>
      </c>
      <c r="P5" s="63"/>
      <c r="Q5" s="63"/>
      <c r="R5" s="63"/>
      <c r="S5" s="63"/>
    </row>
    <row r="6" spans="1:19" s="34" customFormat="1" ht="15.75">
      <c r="A6" s="29" t="s">
        <v>3</v>
      </c>
      <c r="B6" s="29" t="s">
        <v>21</v>
      </c>
      <c r="C6" s="74">
        <v>398</v>
      </c>
      <c r="D6" s="48"/>
      <c r="E6" s="48">
        <v>367</v>
      </c>
      <c r="F6" s="48"/>
      <c r="G6" s="48">
        <v>367</v>
      </c>
      <c r="H6" s="48"/>
      <c r="I6" s="48">
        <v>386</v>
      </c>
      <c r="J6" s="48">
        <v>359</v>
      </c>
      <c r="K6" s="48"/>
      <c r="L6" s="48"/>
      <c r="M6" s="48"/>
      <c r="N6" s="44">
        <v>356</v>
      </c>
      <c r="O6" s="32">
        <f t="shared" si="0"/>
        <v>2233</v>
      </c>
      <c r="P6" s="29">
        <v>1</v>
      </c>
      <c r="Q6" s="29">
        <v>7</v>
      </c>
      <c r="R6" s="32">
        <f>O6-2483</f>
        <v>-250</v>
      </c>
      <c r="S6" s="29">
        <v>0</v>
      </c>
    </row>
    <row r="7" spans="1:19" s="25" customFormat="1" ht="15.75">
      <c r="A7" s="20" t="s">
        <v>4</v>
      </c>
      <c r="B7" s="20" t="s">
        <v>25</v>
      </c>
      <c r="C7" s="49">
        <v>384</v>
      </c>
      <c r="D7" s="49"/>
      <c r="E7" s="47">
        <v>372</v>
      </c>
      <c r="F7" s="73">
        <v>421</v>
      </c>
      <c r="G7" s="47">
        <v>359</v>
      </c>
      <c r="H7" s="47"/>
      <c r="I7" s="49">
        <v>399</v>
      </c>
      <c r="J7" s="49"/>
      <c r="K7" s="49"/>
      <c r="L7" s="49">
        <v>369</v>
      </c>
      <c r="M7" s="49"/>
      <c r="N7" s="39"/>
      <c r="O7" s="23">
        <f t="shared" si="0"/>
        <v>2304</v>
      </c>
      <c r="P7" s="20">
        <v>1</v>
      </c>
      <c r="Q7" s="20">
        <v>7</v>
      </c>
      <c r="R7" s="20">
        <v>-177</v>
      </c>
      <c r="S7" s="20">
        <v>0</v>
      </c>
    </row>
    <row r="8" spans="1:19" s="34" customFormat="1" ht="15.75">
      <c r="A8" s="29" t="s">
        <v>5</v>
      </c>
      <c r="B8" s="29" t="s">
        <v>17</v>
      </c>
      <c r="C8" s="48">
        <v>406</v>
      </c>
      <c r="D8" s="48"/>
      <c r="E8" s="48">
        <v>399</v>
      </c>
      <c r="F8" s="48">
        <v>345</v>
      </c>
      <c r="G8" s="48"/>
      <c r="H8" s="48"/>
      <c r="I8" s="74">
        <v>417</v>
      </c>
      <c r="J8" s="48">
        <v>371</v>
      </c>
      <c r="K8" s="48">
        <v>384</v>
      </c>
      <c r="L8" s="48"/>
      <c r="M8" s="48"/>
      <c r="N8" s="44"/>
      <c r="O8" s="32">
        <f t="shared" si="0"/>
        <v>2322</v>
      </c>
      <c r="P8" s="29">
        <v>1</v>
      </c>
      <c r="Q8" s="29">
        <v>7</v>
      </c>
      <c r="R8" s="32">
        <f>O8-2562</f>
        <v>-240</v>
      </c>
      <c r="S8" s="29">
        <v>0</v>
      </c>
    </row>
    <row r="9" spans="1:19" s="25" customFormat="1" ht="15.75">
      <c r="A9" s="20" t="s">
        <v>6</v>
      </c>
      <c r="B9" s="20" t="s">
        <v>15</v>
      </c>
      <c r="C9" s="47"/>
      <c r="D9" s="47"/>
      <c r="E9" s="47">
        <v>359</v>
      </c>
      <c r="F9" s="47"/>
      <c r="G9" s="47">
        <v>403</v>
      </c>
      <c r="H9" s="47"/>
      <c r="I9" s="73">
        <v>416</v>
      </c>
      <c r="J9" s="47">
        <v>399</v>
      </c>
      <c r="K9" s="47"/>
      <c r="L9" s="47">
        <v>362</v>
      </c>
      <c r="M9" s="47"/>
      <c r="N9" s="39">
        <v>317</v>
      </c>
      <c r="O9" s="23">
        <f t="shared" si="0"/>
        <v>2256</v>
      </c>
      <c r="P9" s="20">
        <v>1</v>
      </c>
      <c r="Q9" s="20">
        <v>7</v>
      </c>
      <c r="R9" s="20">
        <f>2256-2570</f>
        <v>-314</v>
      </c>
      <c r="S9" s="20">
        <v>0</v>
      </c>
    </row>
    <row r="10" spans="1:19" s="34" customFormat="1" ht="15.75">
      <c r="A10" s="29" t="s">
        <v>7</v>
      </c>
      <c r="B10" s="35" t="s">
        <v>27</v>
      </c>
      <c r="C10" s="48">
        <v>391</v>
      </c>
      <c r="D10" s="48"/>
      <c r="E10" s="48">
        <v>398</v>
      </c>
      <c r="F10" s="48"/>
      <c r="G10" s="48">
        <v>337</v>
      </c>
      <c r="H10" s="48"/>
      <c r="I10" s="74">
        <v>416</v>
      </c>
      <c r="J10" s="48">
        <v>360</v>
      </c>
      <c r="K10" s="48">
        <v>370</v>
      </c>
      <c r="L10" s="48"/>
      <c r="M10" s="48"/>
      <c r="N10" s="44"/>
      <c r="O10" s="32">
        <f t="shared" si="0"/>
        <v>2272</v>
      </c>
      <c r="P10" s="29">
        <v>1</v>
      </c>
      <c r="Q10" s="29">
        <v>7</v>
      </c>
      <c r="R10" s="29">
        <v>-300</v>
      </c>
      <c r="S10" s="29">
        <v>0</v>
      </c>
    </row>
    <row r="11" spans="1:19" s="25" customFormat="1" ht="15.75">
      <c r="A11" s="20" t="s">
        <v>8</v>
      </c>
      <c r="B11" s="20" t="s">
        <v>32</v>
      </c>
      <c r="C11" s="73">
        <v>415</v>
      </c>
      <c r="D11" s="47"/>
      <c r="E11" s="47">
        <v>364</v>
      </c>
      <c r="F11" s="47">
        <v>373</v>
      </c>
      <c r="G11" s="47"/>
      <c r="H11" s="47"/>
      <c r="I11" s="47"/>
      <c r="J11" s="47">
        <v>360</v>
      </c>
      <c r="K11" s="73">
        <v>410</v>
      </c>
      <c r="L11" s="47">
        <v>387</v>
      </c>
      <c r="M11" s="47"/>
      <c r="N11" s="39"/>
      <c r="O11" s="23">
        <f t="shared" si="0"/>
        <v>2309</v>
      </c>
      <c r="P11" s="20">
        <v>2</v>
      </c>
      <c r="Q11" s="20">
        <v>6</v>
      </c>
      <c r="R11" s="23">
        <v>-190</v>
      </c>
      <c r="S11" s="20">
        <v>0</v>
      </c>
    </row>
    <row r="12" spans="1:19" s="34" customFormat="1" ht="15.75">
      <c r="A12" s="29" t="s">
        <v>9</v>
      </c>
      <c r="B12" s="29" t="s">
        <v>28</v>
      </c>
      <c r="C12" s="48">
        <v>380</v>
      </c>
      <c r="D12" s="48"/>
      <c r="E12" s="48"/>
      <c r="F12" s="48">
        <v>391</v>
      </c>
      <c r="G12" s="48"/>
      <c r="H12" s="48">
        <v>386</v>
      </c>
      <c r="I12" s="48"/>
      <c r="J12" s="48">
        <v>398</v>
      </c>
      <c r="K12" s="48"/>
      <c r="L12" s="48">
        <v>345</v>
      </c>
      <c r="M12" s="48"/>
      <c r="N12" s="44">
        <v>346</v>
      </c>
      <c r="O12" s="32">
        <f t="shared" si="0"/>
        <v>2246</v>
      </c>
      <c r="P12" s="29">
        <v>0</v>
      </c>
      <c r="Q12" s="29">
        <v>8</v>
      </c>
      <c r="R12" s="32">
        <v>-318</v>
      </c>
      <c r="S12" s="29">
        <v>0</v>
      </c>
    </row>
    <row r="13" spans="1:19" s="25" customFormat="1" ht="15.75">
      <c r="A13" s="20" t="s">
        <v>10</v>
      </c>
      <c r="B13" s="20" t="s">
        <v>198</v>
      </c>
      <c r="C13" s="47">
        <v>379</v>
      </c>
      <c r="D13" s="47"/>
      <c r="E13" s="73">
        <v>400</v>
      </c>
      <c r="F13" s="73">
        <v>395</v>
      </c>
      <c r="G13" s="47"/>
      <c r="H13" s="47">
        <v>353</v>
      </c>
      <c r="I13" s="73">
        <v>390</v>
      </c>
      <c r="J13" s="47"/>
      <c r="K13" s="47">
        <v>366</v>
      </c>
      <c r="L13" s="47"/>
      <c r="M13" s="47"/>
      <c r="N13" s="39"/>
      <c r="O13" s="23">
        <f t="shared" si="0"/>
        <v>2283</v>
      </c>
      <c r="P13" s="20">
        <v>3</v>
      </c>
      <c r="Q13" s="20">
        <v>5</v>
      </c>
      <c r="R13" s="23">
        <f>O13-2359</f>
        <v>-76</v>
      </c>
      <c r="S13" s="20">
        <v>0</v>
      </c>
    </row>
    <row r="14" spans="1:19" s="34" customFormat="1" ht="15.75">
      <c r="A14" s="29" t="s">
        <v>11</v>
      </c>
      <c r="B14" s="29" t="s">
        <v>18</v>
      </c>
      <c r="C14" s="74">
        <v>388</v>
      </c>
      <c r="D14" s="48">
        <v>330</v>
      </c>
      <c r="E14" s="48">
        <v>383</v>
      </c>
      <c r="F14" s="48"/>
      <c r="G14" s="48">
        <v>354</v>
      </c>
      <c r="H14" s="48"/>
      <c r="I14" s="74">
        <v>385</v>
      </c>
      <c r="J14" s="48"/>
      <c r="K14" s="48"/>
      <c r="L14" s="48"/>
      <c r="M14" s="48"/>
      <c r="N14" s="44">
        <v>343</v>
      </c>
      <c r="O14" s="32">
        <f t="shared" si="0"/>
        <v>2183</v>
      </c>
      <c r="P14" s="29">
        <v>2</v>
      </c>
      <c r="Q14" s="29">
        <v>6</v>
      </c>
      <c r="R14" s="29">
        <v>-202</v>
      </c>
      <c r="S14" s="29">
        <v>0</v>
      </c>
    </row>
    <row r="15" spans="1:19" s="25" customFormat="1" ht="15.75">
      <c r="A15" s="20" t="s">
        <v>12</v>
      </c>
      <c r="B15" s="20" t="s">
        <v>26</v>
      </c>
      <c r="C15" s="47"/>
      <c r="D15" s="47"/>
      <c r="E15" s="47">
        <v>387</v>
      </c>
      <c r="F15" s="47">
        <v>357</v>
      </c>
      <c r="G15" s="47">
        <v>355</v>
      </c>
      <c r="H15" s="47"/>
      <c r="I15" s="73">
        <v>409</v>
      </c>
      <c r="J15" s="47">
        <v>362</v>
      </c>
      <c r="K15" s="47"/>
      <c r="L15" s="73">
        <v>410</v>
      </c>
      <c r="M15" s="73"/>
      <c r="N15" s="39"/>
      <c r="O15" s="23">
        <f t="shared" si="0"/>
        <v>2280</v>
      </c>
      <c r="P15" s="20">
        <v>2</v>
      </c>
      <c r="Q15" s="20">
        <v>6</v>
      </c>
      <c r="R15" s="23">
        <f>O15-2545</f>
        <v>-265</v>
      </c>
      <c r="S15" s="20">
        <v>0</v>
      </c>
    </row>
    <row r="16" spans="1:19" s="34" customFormat="1" ht="15.75">
      <c r="A16" s="29" t="s">
        <v>13</v>
      </c>
      <c r="B16" s="29" t="s">
        <v>20</v>
      </c>
      <c r="C16" s="74">
        <v>419</v>
      </c>
      <c r="D16" s="48"/>
      <c r="E16" s="48">
        <v>370</v>
      </c>
      <c r="F16" s="48"/>
      <c r="G16" s="48">
        <v>350</v>
      </c>
      <c r="H16" s="48"/>
      <c r="I16" s="48">
        <v>362</v>
      </c>
      <c r="J16" s="48"/>
      <c r="K16" s="48"/>
      <c r="L16" s="48">
        <v>375</v>
      </c>
      <c r="M16" s="48"/>
      <c r="N16" s="44">
        <v>345</v>
      </c>
      <c r="O16" s="32">
        <f t="shared" si="0"/>
        <v>2221</v>
      </c>
      <c r="P16" s="29">
        <v>1</v>
      </c>
      <c r="Q16" s="29">
        <v>7</v>
      </c>
      <c r="R16" s="32">
        <f>O16-2611</f>
        <v>-390</v>
      </c>
      <c r="S16" s="29">
        <v>0</v>
      </c>
    </row>
    <row r="17" spans="1:19" s="25" customFormat="1" ht="15.75">
      <c r="A17" s="20" t="s">
        <v>14</v>
      </c>
      <c r="B17" s="20" t="s">
        <v>22</v>
      </c>
      <c r="C17" s="47">
        <v>388</v>
      </c>
      <c r="D17" s="47"/>
      <c r="E17" s="47">
        <v>366</v>
      </c>
      <c r="F17" s="47">
        <v>385</v>
      </c>
      <c r="G17" s="47"/>
      <c r="H17" s="47"/>
      <c r="I17" s="73">
        <v>424</v>
      </c>
      <c r="J17" s="47"/>
      <c r="K17" s="47"/>
      <c r="L17" s="47">
        <v>358</v>
      </c>
      <c r="M17" s="47">
        <v>356</v>
      </c>
      <c r="N17" s="39"/>
      <c r="O17" s="32">
        <f t="shared" si="0"/>
        <v>2277</v>
      </c>
      <c r="P17" s="20">
        <v>1</v>
      </c>
      <c r="Q17" s="20">
        <v>7</v>
      </c>
      <c r="R17" s="23">
        <f>O17-2548</f>
        <v>-271</v>
      </c>
      <c r="S17" s="20">
        <v>0</v>
      </c>
    </row>
    <row r="18" spans="1:19" s="34" customFormat="1" ht="15.75">
      <c r="A18" s="29" t="s">
        <v>234</v>
      </c>
      <c r="B18" s="29" t="s">
        <v>30</v>
      </c>
      <c r="C18" s="74">
        <v>404</v>
      </c>
      <c r="D18" s="48"/>
      <c r="E18" s="48">
        <v>374</v>
      </c>
      <c r="F18" s="48"/>
      <c r="G18" s="48">
        <v>371</v>
      </c>
      <c r="H18" s="48"/>
      <c r="I18" s="74">
        <v>431</v>
      </c>
      <c r="J18" s="74">
        <v>443</v>
      </c>
      <c r="K18" s="48">
        <v>359</v>
      </c>
      <c r="L18" s="48"/>
      <c r="M18" s="48"/>
      <c r="N18" s="44"/>
      <c r="O18" s="32">
        <f t="shared" si="0"/>
        <v>2382</v>
      </c>
      <c r="P18" s="29">
        <v>3</v>
      </c>
      <c r="Q18" s="29">
        <v>5</v>
      </c>
      <c r="R18" s="32">
        <v>-99</v>
      </c>
      <c r="S18" s="29">
        <v>0</v>
      </c>
    </row>
    <row r="19" spans="1:19" s="25" customFormat="1" ht="16.5" thickBot="1">
      <c r="A19" s="20" t="s">
        <v>235</v>
      </c>
      <c r="B19" s="20" t="s">
        <v>19</v>
      </c>
      <c r="C19" s="134">
        <v>387</v>
      </c>
      <c r="D19" s="53"/>
      <c r="E19" s="53">
        <v>376</v>
      </c>
      <c r="F19" s="53">
        <v>384</v>
      </c>
      <c r="G19" s="53">
        <v>360</v>
      </c>
      <c r="H19" s="53"/>
      <c r="I19" s="134">
        <v>439</v>
      </c>
      <c r="J19" s="53"/>
      <c r="K19" s="134">
        <v>422</v>
      </c>
      <c r="L19" s="53"/>
      <c r="M19" s="53"/>
      <c r="N19" s="54"/>
      <c r="O19" s="55">
        <f t="shared" si="0"/>
        <v>2368</v>
      </c>
      <c r="P19" s="28">
        <v>5</v>
      </c>
      <c r="Q19" s="28">
        <v>3</v>
      </c>
      <c r="R19" s="27">
        <v>43</v>
      </c>
      <c r="S19" s="28">
        <v>2</v>
      </c>
    </row>
    <row r="20" spans="3:14" ht="16.5" thickTop="1">
      <c r="C20" s="6">
        <f>SUM(C3:C19)</f>
        <v>5548</v>
      </c>
      <c r="D20" s="6">
        <f aca="true" t="shared" si="1" ref="D20:N20">SUM(D3:D19)</f>
        <v>330</v>
      </c>
      <c r="E20" s="6">
        <f>SUM(E3:E19)</f>
        <v>5703</v>
      </c>
      <c r="F20" s="6">
        <f t="shared" si="1"/>
        <v>3608</v>
      </c>
      <c r="G20" s="6">
        <f t="shared" si="1"/>
        <v>3438</v>
      </c>
      <c r="H20" s="6"/>
      <c r="I20" s="6">
        <f t="shared" si="1"/>
        <v>5658</v>
      </c>
      <c r="J20" s="6">
        <f t="shared" si="1"/>
        <v>3810</v>
      </c>
      <c r="K20" s="6">
        <f t="shared" si="1"/>
        <v>2311</v>
      </c>
      <c r="L20" s="6">
        <f>SUM(L3:L19)</f>
        <v>2766</v>
      </c>
      <c r="M20" s="6"/>
      <c r="N20" s="6">
        <f t="shared" si="1"/>
        <v>2229</v>
      </c>
    </row>
    <row r="21" spans="2:21" ht="35.25" customHeight="1">
      <c r="B21" s="12" t="s">
        <v>152</v>
      </c>
      <c r="C21" s="17">
        <f>AVERAGE(C3:C19)</f>
        <v>396.2857142857143</v>
      </c>
      <c r="D21" s="17">
        <f aca="true" t="shared" si="2" ref="D21:M21">AVERAGE(D3:D19)</f>
        <v>330</v>
      </c>
      <c r="E21" s="17">
        <f t="shared" si="2"/>
        <v>380.2</v>
      </c>
      <c r="F21" s="17">
        <f>F20/9.5</f>
        <v>379.7894736842105</v>
      </c>
      <c r="G21" s="17">
        <f>G20/9.5</f>
        <v>361.89473684210526</v>
      </c>
      <c r="H21" s="17">
        <f t="shared" si="2"/>
        <v>369.5</v>
      </c>
      <c r="I21" s="17">
        <f t="shared" si="2"/>
        <v>404.14285714285717</v>
      </c>
      <c r="J21" s="17">
        <f t="shared" si="2"/>
        <v>381</v>
      </c>
      <c r="K21" s="17">
        <f t="shared" si="2"/>
        <v>385.1666666666667</v>
      </c>
      <c r="L21" s="17">
        <f>L20/7.5</f>
        <v>368.8</v>
      </c>
      <c r="M21" s="17">
        <f t="shared" si="2"/>
        <v>356</v>
      </c>
      <c r="N21" s="17">
        <f>N20/6.5</f>
        <v>342.9230769230769</v>
      </c>
      <c r="O21" s="3" t="s">
        <v>35</v>
      </c>
      <c r="P21" s="185" t="s">
        <v>135</v>
      </c>
      <c r="Q21" s="185"/>
      <c r="R21" s="3" t="s">
        <v>36</v>
      </c>
      <c r="S21" s="11" t="s">
        <v>136</v>
      </c>
      <c r="U21" s="14" t="s">
        <v>150</v>
      </c>
    </row>
    <row r="22" spans="15:21" ht="15.75">
      <c r="O22" s="6">
        <f>SUM(O3:O19)</f>
        <v>36496</v>
      </c>
      <c r="P22" s="1">
        <f>SUM(P3:P19)</f>
        <v>29</v>
      </c>
      <c r="Q22" s="1">
        <f>SUM(Q3:Q19)</f>
        <v>99</v>
      </c>
      <c r="R22" s="1">
        <f>SUM(R3:R19)</f>
        <v>-3285</v>
      </c>
      <c r="S22" s="1">
        <f>SUM(S3:S19)</f>
        <v>2</v>
      </c>
      <c r="U22" s="2">
        <f>P22-Q22</f>
        <v>-70</v>
      </c>
    </row>
    <row r="24" spans="3:16" ht="15.75">
      <c r="C24" s="190" t="s">
        <v>48</v>
      </c>
      <c r="D24" s="190"/>
      <c r="O24" s="1" t="s">
        <v>153</v>
      </c>
      <c r="P24" s="19">
        <f>SUM(O3:O19)/16</f>
        <v>2281</v>
      </c>
    </row>
    <row r="25" spans="3:4" ht="15.75">
      <c r="C25" s="188" t="s">
        <v>157</v>
      </c>
      <c r="D25" s="188"/>
    </row>
    <row r="26" spans="3:15" ht="15.75">
      <c r="C26" s="189" t="s">
        <v>158</v>
      </c>
      <c r="D26" s="189"/>
      <c r="K26" s="184" t="s">
        <v>183</v>
      </c>
      <c r="L26" s="184"/>
      <c r="M26" s="12"/>
      <c r="N26" s="12" t="s">
        <v>184</v>
      </c>
      <c r="O26" s="14" t="s">
        <v>150</v>
      </c>
    </row>
    <row r="27" spans="11:15" ht="15.75">
      <c r="K27" s="1">
        <f>P22+P48</f>
        <v>69</v>
      </c>
      <c r="L27" s="1">
        <f>Q22+Q48</f>
        <v>187</v>
      </c>
      <c r="N27" s="1">
        <f>S22+S48</f>
        <v>6</v>
      </c>
      <c r="O27" s="1">
        <f>K27-L27</f>
        <v>-118</v>
      </c>
    </row>
    <row r="28" spans="1:6" ht="15.75">
      <c r="A28" s="128" t="s">
        <v>169</v>
      </c>
      <c r="B28" s="129"/>
      <c r="C28" s="129" t="s">
        <v>176</v>
      </c>
      <c r="D28" s="129" t="s">
        <v>170</v>
      </c>
      <c r="E28" s="186" t="s">
        <v>168</v>
      </c>
      <c r="F28" s="186"/>
    </row>
    <row r="29" spans="6:8" ht="15.75">
      <c r="F29" s="57"/>
      <c r="G29" s="57"/>
      <c r="H29" s="57"/>
    </row>
    <row r="30" spans="2:19" ht="44.25" customHeight="1" thickBot="1">
      <c r="B30" s="3" t="s">
        <v>29</v>
      </c>
      <c r="C30" s="9" t="s">
        <v>103</v>
      </c>
      <c r="D30" s="9" t="s">
        <v>104</v>
      </c>
      <c r="E30" s="9" t="s">
        <v>105</v>
      </c>
      <c r="F30" s="9" t="s">
        <v>106</v>
      </c>
      <c r="G30" s="9" t="s">
        <v>137</v>
      </c>
      <c r="H30" s="9" t="s">
        <v>236</v>
      </c>
      <c r="I30" s="9" t="s">
        <v>107</v>
      </c>
      <c r="J30" s="9" t="s">
        <v>122</v>
      </c>
      <c r="K30" s="9" t="s">
        <v>121</v>
      </c>
      <c r="L30" s="9" t="s">
        <v>154</v>
      </c>
      <c r="M30" s="9" t="s">
        <v>241</v>
      </c>
      <c r="N30" s="9" t="s">
        <v>217</v>
      </c>
      <c r="O30" s="12" t="s">
        <v>35</v>
      </c>
      <c r="P30" s="12" t="s">
        <v>24</v>
      </c>
      <c r="Q30" s="12" t="s">
        <v>34</v>
      </c>
      <c r="R30" s="12" t="s">
        <v>36</v>
      </c>
      <c r="S30" s="11" t="s">
        <v>134</v>
      </c>
    </row>
    <row r="31" spans="1:19" s="34" customFormat="1" ht="15.75">
      <c r="A31" s="29" t="s">
        <v>185</v>
      </c>
      <c r="B31" s="29" t="s">
        <v>16</v>
      </c>
      <c r="C31" s="87">
        <v>423</v>
      </c>
      <c r="D31" s="35">
        <v>349</v>
      </c>
      <c r="E31" s="35">
        <v>359</v>
      </c>
      <c r="F31" s="35"/>
      <c r="G31" s="35">
        <v>374</v>
      </c>
      <c r="H31" s="35"/>
      <c r="I31" s="87">
        <v>439</v>
      </c>
      <c r="J31" s="35"/>
      <c r="K31" s="35"/>
      <c r="L31" s="35"/>
      <c r="M31" s="35">
        <v>361</v>
      </c>
      <c r="N31" s="35"/>
      <c r="O31" s="29">
        <f>SUM(C31:N31)</f>
        <v>2305</v>
      </c>
      <c r="P31" s="29">
        <v>2</v>
      </c>
      <c r="Q31" s="29">
        <v>6</v>
      </c>
      <c r="R31" s="29">
        <f>O31-2573</f>
        <v>-268</v>
      </c>
      <c r="S31" s="29">
        <v>0</v>
      </c>
    </row>
    <row r="32" spans="1:19" s="25" customFormat="1" ht="15.75">
      <c r="A32" s="20" t="s">
        <v>186</v>
      </c>
      <c r="B32" s="20" t="s">
        <v>199</v>
      </c>
      <c r="C32" s="37">
        <v>395</v>
      </c>
      <c r="D32" s="37"/>
      <c r="E32" s="37">
        <v>373</v>
      </c>
      <c r="F32" s="79">
        <v>426</v>
      </c>
      <c r="G32" s="37"/>
      <c r="H32" s="37"/>
      <c r="I32" s="79">
        <v>446</v>
      </c>
      <c r="J32" s="79">
        <v>431</v>
      </c>
      <c r="K32" s="79">
        <v>416</v>
      </c>
      <c r="L32" s="37"/>
      <c r="M32" s="37"/>
      <c r="N32" s="37"/>
      <c r="O32" s="20">
        <f>SUM(C32:N32)</f>
        <v>2487</v>
      </c>
      <c r="P32" s="20">
        <v>6</v>
      </c>
      <c r="Q32" s="20">
        <v>2</v>
      </c>
      <c r="R32" s="20">
        <v>92</v>
      </c>
      <c r="S32" s="20">
        <v>2</v>
      </c>
    </row>
    <row r="33" spans="1:19" s="34" customFormat="1" ht="15.75">
      <c r="A33" s="29" t="s">
        <v>187</v>
      </c>
      <c r="B33" s="29" t="s">
        <v>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9">
        <f>SUM(C33:N33)</f>
        <v>0</v>
      </c>
      <c r="P33" s="29"/>
      <c r="Q33" s="29"/>
      <c r="R33" s="29"/>
      <c r="S33" s="29"/>
    </row>
    <row r="34" spans="1:19" s="25" customFormat="1" ht="15.75">
      <c r="A34" s="20" t="s">
        <v>188</v>
      </c>
      <c r="B34" s="20" t="s">
        <v>21</v>
      </c>
      <c r="C34" s="79">
        <v>419</v>
      </c>
      <c r="D34" s="37"/>
      <c r="E34" s="37">
        <v>167</v>
      </c>
      <c r="F34" s="37">
        <v>385</v>
      </c>
      <c r="G34" s="37"/>
      <c r="H34" s="37"/>
      <c r="I34" s="79">
        <v>403</v>
      </c>
      <c r="J34" s="37">
        <v>399</v>
      </c>
      <c r="K34" s="37">
        <v>378</v>
      </c>
      <c r="L34" s="37">
        <v>164</v>
      </c>
      <c r="M34" s="37"/>
      <c r="N34" s="37"/>
      <c r="O34" s="20">
        <f>SUM(C34:N34)</f>
        <v>2315</v>
      </c>
      <c r="P34" s="20">
        <v>2</v>
      </c>
      <c r="Q34" s="20">
        <v>6</v>
      </c>
      <c r="R34" s="20">
        <f>O34-2411</f>
        <v>-96</v>
      </c>
      <c r="S34" s="20">
        <v>0</v>
      </c>
    </row>
    <row r="35" spans="1:19" s="34" customFormat="1" ht="15.75">
      <c r="A35" s="29" t="s">
        <v>189</v>
      </c>
      <c r="B35" s="29" t="s">
        <v>25</v>
      </c>
      <c r="C35" s="87">
        <v>433</v>
      </c>
      <c r="D35" s="35"/>
      <c r="E35" s="35"/>
      <c r="F35" s="35"/>
      <c r="G35" s="35">
        <v>371</v>
      </c>
      <c r="H35" s="35"/>
      <c r="I35" s="87">
        <v>412</v>
      </c>
      <c r="J35" s="35">
        <v>384</v>
      </c>
      <c r="K35" s="35"/>
      <c r="L35" s="35"/>
      <c r="M35" s="35">
        <v>352</v>
      </c>
      <c r="N35" s="35">
        <v>378</v>
      </c>
      <c r="O35" s="29">
        <f>SUM(C35:N35)</f>
        <v>2330</v>
      </c>
      <c r="P35" s="29">
        <v>2</v>
      </c>
      <c r="Q35" s="29">
        <v>6</v>
      </c>
      <c r="R35" s="29">
        <v>-138</v>
      </c>
      <c r="S35" s="29">
        <v>0</v>
      </c>
    </row>
    <row r="36" spans="1:19" s="25" customFormat="1" ht="15.75">
      <c r="A36" s="20" t="s">
        <v>190</v>
      </c>
      <c r="B36" s="20" t="s">
        <v>17</v>
      </c>
      <c r="C36" s="37">
        <v>407</v>
      </c>
      <c r="D36" s="37"/>
      <c r="E36" s="37">
        <v>359</v>
      </c>
      <c r="F36" s="37"/>
      <c r="G36" s="37">
        <v>365</v>
      </c>
      <c r="H36" s="37"/>
      <c r="I36" s="79">
        <v>408</v>
      </c>
      <c r="J36" s="37">
        <v>388</v>
      </c>
      <c r="K36" s="37"/>
      <c r="L36" s="37"/>
      <c r="M36" s="37"/>
      <c r="N36" s="37">
        <v>344</v>
      </c>
      <c r="O36" s="20">
        <f aca="true" t="shared" si="3" ref="O36:O46">SUM(C36:N36)</f>
        <v>2271</v>
      </c>
      <c r="P36" s="20">
        <v>1</v>
      </c>
      <c r="Q36" s="20">
        <v>7</v>
      </c>
      <c r="R36" s="20">
        <v>-239</v>
      </c>
      <c r="S36" s="20">
        <v>0</v>
      </c>
    </row>
    <row r="37" spans="1:19" s="34" customFormat="1" ht="15.75">
      <c r="A37" s="29" t="s">
        <v>191</v>
      </c>
      <c r="B37" s="29" t="s">
        <v>15</v>
      </c>
      <c r="C37" s="87">
        <v>410</v>
      </c>
      <c r="D37" s="35"/>
      <c r="E37" s="35">
        <v>367</v>
      </c>
      <c r="F37" s="35"/>
      <c r="G37" s="35">
        <v>371</v>
      </c>
      <c r="H37" s="35"/>
      <c r="I37" s="87">
        <v>421</v>
      </c>
      <c r="J37" s="87">
        <v>417</v>
      </c>
      <c r="K37" s="35"/>
      <c r="L37" s="35"/>
      <c r="M37" s="35"/>
      <c r="N37" s="35">
        <v>397</v>
      </c>
      <c r="O37" s="29">
        <f t="shared" si="3"/>
        <v>2383</v>
      </c>
      <c r="P37" s="29">
        <v>3</v>
      </c>
      <c r="Q37" s="29">
        <v>5</v>
      </c>
      <c r="R37" s="29">
        <v>-120</v>
      </c>
      <c r="S37" s="29">
        <v>0</v>
      </c>
    </row>
    <row r="38" spans="1:19" s="25" customFormat="1" ht="15.75">
      <c r="A38" s="20" t="s">
        <v>192</v>
      </c>
      <c r="B38" s="37" t="s">
        <v>27</v>
      </c>
      <c r="C38" s="37">
        <v>364</v>
      </c>
      <c r="D38" s="37"/>
      <c r="E38" s="37"/>
      <c r="F38" s="79">
        <v>416</v>
      </c>
      <c r="G38" s="37">
        <v>348</v>
      </c>
      <c r="H38" s="37"/>
      <c r="I38" s="79">
        <v>415</v>
      </c>
      <c r="J38" s="37">
        <v>404</v>
      </c>
      <c r="K38" s="37"/>
      <c r="L38" s="37"/>
      <c r="M38" s="37"/>
      <c r="N38" s="37">
        <v>347</v>
      </c>
      <c r="O38" s="20">
        <f t="shared" si="3"/>
        <v>2294</v>
      </c>
      <c r="P38" s="20">
        <v>2</v>
      </c>
      <c r="Q38" s="20">
        <v>6</v>
      </c>
      <c r="R38" s="20">
        <v>-219</v>
      </c>
      <c r="S38" s="20">
        <v>0</v>
      </c>
    </row>
    <row r="39" spans="1:19" s="34" customFormat="1" ht="15.75">
      <c r="A39" s="29" t="s">
        <v>193</v>
      </c>
      <c r="B39" s="29" t="s">
        <v>32</v>
      </c>
      <c r="C39" s="87">
        <v>411</v>
      </c>
      <c r="D39" s="35"/>
      <c r="E39" s="35"/>
      <c r="F39" s="35"/>
      <c r="G39" s="35">
        <v>370</v>
      </c>
      <c r="H39" s="35"/>
      <c r="I39" s="87">
        <v>448</v>
      </c>
      <c r="J39" s="35">
        <v>369</v>
      </c>
      <c r="K39" s="35">
        <v>182</v>
      </c>
      <c r="L39" s="35">
        <v>380</v>
      </c>
      <c r="M39" s="35"/>
      <c r="N39" s="35">
        <v>177</v>
      </c>
      <c r="O39" s="29">
        <f t="shared" si="3"/>
        <v>2337</v>
      </c>
      <c r="P39" s="29">
        <v>2</v>
      </c>
      <c r="Q39" s="29">
        <v>6</v>
      </c>
      <c r="R39" s="29">
        <f>O39-2420</f>
        <v>-83</v>
      </c>
      <c r="S39" s="29">
        <v>0</v>
      </c>
    </row>
    <row r="40" spans="1:19" s="25" customFormat="1" ht="15.75">
      <c r="A40" s="20" t="s">
        <v>194</v>
      </c>
      <c r="B40" s="20" t="s">
        <v>28</v>
      </c>
      <c r="C40" s="37">
        <v>380</v>
      </c>
      <c r="D40" s="37"/>
      <c r="E40" s="79">
        <v>396</v>
      </c>
      <c r="F40" s="37"/>
      <c r="G40" s="37"/>
      <c r="H40" s="37"/>
      <c r="I40" s="79">
        <v>410</v>
      </c>
      <c r="J40" s="79">
        <v>391</v>
      </c>
      <c r="K40" s="37"/>
      <c r="L40" s="37">
        <v>374</v>
      </c>
      <c r="M40" s="37">
        <v>369</v>
      </c>
      <c r="N40" s="37"/>
      <c r="O40" s="20">
        <f t="shared" si="3"/>
        <v>2320</v>
      </c>
      <c r="P40" s="20">
        <v>3</v>
      </c>
      <c r="Q40" s="20">
        <v>5</v>
      </c>
      <c r="R40" s="20">
        <v>-17</v>
      </c>
      <c r="S40" s="20">
        <v>0</v>
      </c>
    </row>
    <row r="41" spans="1:19" s="34" customFormat="1" ht="15.75">
      <c r="A41" s="29" t="s">
        <v>195</v>
      </c>
      <c r="B41" s="29" t="s">
        <v>198</v>
      </c>
      <c r="C41" s="29">
        <v>396</v>
      </c>
      <c r="D41" s="29"/>
      <c r="E41" s="87">
        <v>420</v>
      </c>
      <c r="F41" s="29"/>
      <c r="G41" s="29"/>
      <c r="H41" s="29"/>
      <c r="I41" s="87">
        <v>412</v>
      </c>
      <c r="J41" s="87">
        <v>419</v>
      </c>
      <c r="K41" s="87">
        <v>414</v>
      </c>
      <c r="L41" s="29">
        <v>366</v>
      </c>
      <c r="M41" s="29"/>
      <c r="N41" s="29"/>
      <c r="O41" s="29">
        <f t="shared" si="3"/>
        <v>2427</v>
      </c>
      <c r="P41" s="29">
        <v>6</v>
      </c>
      <c r="Q41" s="29">
        <v>2</v>
      </c>
      <c r="R41" s="29">
        <f>O41-2346</f>
        <v>81</v>
      </c>
      <c r="S41" s="29">
        <v>2</v>
      </c>
    </row>
    <row r="42" spans="1:19" s="25" customFormat="1" ht="15.75">
      <c r="A42" s="20" t="s">
        <v>196</v>
      </c>
      <c r="B42" s="20" t="s">
        <v>18</v>
      </c>
      <c r="C42" s="79">
        <v>415</v>
      </c>
      <c r="D42" s="20"/>
      <c r="E42" s="20">
        <v>384</v>
      </c>
      <c r="F42" s="20"/>
      <c r="G42" s="20">
        <v>380</v>
      </c>
      <c r="H42" s="20"/>
      <c r="I42" s="20">
        <v>396</v>
      </c>
      <c r="J42" s="79">
        <v>430</v>
      </c>
      <c r="K42" s="20">
        <v>393</v>
      </c>
      <c r="L42" s="20"/>
      <c r="M42" s="20"/>
      <c r="N42" s="20"/>
      <c r="O42" s="20">
        <f t="shared" si="3"/>
        <v>2398</v>
      </c>
      <c r="P42" s="20">
        <v>2</v>
      </c>
      <c r="Q42" s="20">
        <v>6</v>
      </c>
      <c r="R42" s="20">
        <v>-148</v>
      </c>
      <c r="S42" s="20">
        <v>0</v>
      </c>
    </row>
    <row r="43" spans="1:19" s="34" customFormat="1" ht="15.75">
      <c r="A43" s="29" t="s">
        <v>197</v>
      </c>
      <c r="B43" s="29" t="s">
        <v>26</v>
      </c>
      <c r="C43" s="29">
        <v>384</v>
      </c>
      <c r="D43" s="29">
        <v>326</v>
      </c>
      <c r="E43" s="29"/>
      <c r="F43" s="87">
        <v>411</v>
      </c>
      <c r="G43" s="29"/>
      <c r="H43" s="29"/>
      <c r="I43" s="29"/>
      <c r="J43" s="29">
        <v>399</v>
      </c>
      <c r="K43" s="29"/>
      <c r="L43" s="29">
        <v>351</v>
      </c>
      <c r="M43" s="29"/>
      <c r="N43" s="29">
        <v>363</v>
      </c>
      <c r="O43" s="29">
        <f t="shared" si="3"/>
        <v>2234</v>
      </c>
      <c r="P43" s="29">
        <v>1</v>
      </c>
      <c r="Q43" s="29">
        <v>7</v>
      </c>
      <c r="R43" s="29">
        <f>O43-2540</f>
        <v>-306</v>
      </c>
      <c r="S43" s="29">
        <v>0</v>
      </c>
    </row>
    <row r="44" spans="1:19" s="25" customFormat="1" ht="15.75">
      <c r="A44" s="20" t="s">
        <v>242</v>
      </c>
      <c r="B44" s="20" t="s">
        <v>20</v>
      </c>
      <c r="C44" s="20"/>
      <c r="D44" s="20"/>
      <c r="E44" s="20"/>
      <c r="F44" s="79">
        <v>431</v>
      </c>
      <c r="G44" s="20">
        <v>366</v>
      </c>
      <c r="H44" s="20"/>
      <c r="I44" s="79">
        <v>439</v>
      </c>
      <c r="J44" s="79">
        <v>425</v>
      </c>
      <c r="K44" s="20"/>
      <c r="L44" s="20"/>
      <c r="M44" s="20">
        <v>390</v>
      </c>
      <c r="N44" s="20">
        <v>386</v>
      </c>
      <c r="O44" s="20">
        <f t="shared" si="3"/>
        <v>2437</v>
      </c>
      <c r="P44" s="20">
        <v>3</v>
      </c>
      <c r="Q44" s="20">
        <v>5</v>
      </c>
      <c r="R44" s="20">
        <v>-37</v>
      </c>
      <c r="S44" s="20">
        <v>0</v>
      </c>
    </row>
    <row r="45" spans="1:19" s="34" customFormat="1" ht="15.75">
      <c r="A45" s="29" t="s">
        <v>243</v>
      </c>
      <c r="B45" s="29" t="s">
        <v>22</v>
      </c>
      <c r="C45" s="87">
        <v>410</v>
      </c>
      <c r="D45" s="29"/>
      <c r="E45" s="29">
        <v>378</v>
      </c>
      <c r="F45" s="29">
        <v>404</v>
      </c>
      <c r="G45" s="29"/>
      <c r="H45" s="29"/>
      <c r="I45" s="29">
        <v>392</v>
      </c>
      <c r="J45" s="29">
        <v>410</v>
      </c>
      <c r="K45" s="29">
        <v>389</v>
      </c>
      <c r="L45" s="29"/>
      <c r="M45" s="29"/>
      <c r="N45" s="29"/>
      <c r="O45" s="29">
        <f t="shared" si="3"/>
        <v>2383</v>
      </c>
      <c r="P45" s="29">
        <v>1</v>
      </c>
      <c r="Q45" s="29">
        <v>7</v>
      </c>
      <c r="R45" s="29">
        <v>-193</v>
      </c>
      <c r="S45" s="29">
        <v>0</v>
      </c>
    </row>
    <row r="46" spans="1:19" s="25" customFormat="1" ht="15.75">
      <c r="A46" s="20" t="s">
        <v>244</v>
      </c>
      <c r="B46" s="20" t="s">
        <v>30</v>
      </c>
      <c r="C46" s="20">
        <v>350</v>
      </c>
      <c r="D46" s="20"/>
      <c r="E46" s="20">
        <v>445</v>
      </c>
      <c r="F46" s="20"/>
      <c r="G46" s="20"/>
      <c r="H46" s="20"/>
      <c r="I46" s="79">
        <v>463</v>
      </c>
      <c r="J46" s="20">
        <v>376</v>
      </c>
      <c r="K46" s="20">
        <v>397</v>
      </c>
      <c r="L46" s="20"/>
      <c r="M46" s="20">
        <v>393</v>
      </c>
      <c r="N46" s="20"/>
      <c r="O46" s="20">
        <f t="shared" si="3"/>
        <v>2424</v>
      </c>
      <c r="P46" s="20">
        <v>1</v>
      </c>
      <c r="Q46" s="20">
        <v>7</v>
      </c>
      <c r="R46" s="20">
        <v>-361</v>
      </c>
      <c r="S46" s="20">
        <v>0</v>
      </c>
    </row>
    <row r="47" spans="1:19" s="34" customFormat="1" ht="16.5" thickBot="1">
      <c r="A47" s="29" t="s">
        <v>245</v>
      </c>
      <c r="B47" s="29" t="s">
        <v>19</v>
      </c>
      <c r="C47" s="87">
        <v>401</v>
      </c>
      <c r="D47" s="29"/>
      <c r="E47" s="29">
        <v>359</v>
      </c>
      <c r="F47" s="29">
        <v>399</v>
      </c>
      <c r="G47" s="29"/>
      <c r="H47" s="29"/>
      <c r="I47" s="29">
        <v>390</v>
      </c>
      <c r="J47" s="87">
        <v>432</v>
      </c>
      <c r="K47" s="87">
        <v>414</v>
      </c>
      <c r="L47" s="29"/>
      <c r="M47" s="29"/>
      <c r="N47" s="29"/>
      <c r="O47" s="29">
        <f>SUM(C47:N47)</f>
        <v>2395</v>
      </c>
      <c r="P47" s="43">
        <v>3</v>
      </c>
      <c r="Q47" s="43">
        <v>5</v>
      </c>
      <c r="R47" s="43">
        <v>-30</v>
      </c>
      <c r="S47" s="43">
        <v>0</v>
      </c>
    </row>
    <row r="48" spans="3:19" ht="16.5" thickTop="1">
      <c r="C48" s="169">
        <f>SUM(C31:C47)</f>
        <v>5998</v>
      </c>
      <c r="D48" s="169">
        <f aca="true" t="shared" si="4" ref="D48:N48">SUM(D31:D47)</f>
        <v>675</v>
      </c>
      <c r="E48" s="169">
        <f t="shared" si="4"/>
        <v>4007</v>
      </c>
      <c r="F48" s="169">
        <f t="shared" si="4"/>
        <v>2872</v>
      </c>
      <c r="G48" s="169">
        <f t="shared" si="4"/>
        <v>2945</v>
      </c>
      <c r="H48" s="169"/>
      <c r="I48" s="169">
        <f t="shared" si="4"/>
        <v>6294</v>
      </c>
      <c r="J48" s="169">
        <f t="shared" si="4"/>
        <v>6074</v>
      </c>
      <c r="K48" s="169">
        <f t="shared" si="4"/>
        <v>2983</v>
      </c>
      <c r="L48" s="169">
        <f t="shared" si="4"/>
        <v>1635</v>
      </c>
      <c r="M48" s="169">
        <f t="shared" si="4"/>
        <v>1865</v>
      </c>
      <c r="N48" s="169">
        <f t="shared" si="4"/>
        <v>2392</v>
      </c>
      <c r="P48" s="1">
        <f>SUM(P31:P47)</f>
        <v>40</v>
      </c>
      <c r="Q48" s="1">
        <f>SUM(Q31:Q47)</f>
        <v>88</v>
      </c>
      <c r="R48" s="1">
        <f>SUM(R31:R47)</f>
        <v>-2082</v>
      </c>
      <c r="S48" s="1">
        <f>SUM(S31:S47)</f>
        <v>4</v>
      </c>
    </row>
    <row r="50" spans="2:21" ht="31.5">
      <c r="B50" s="12" t="s">
        <v>152</v>
      </c>
      <c r="C50" s="181">
        <f>AVERAGE(C31:C47)</f>
        <v>399.8666666666667</v>
      </c>
      <c r="D50" s="181">
        <f aca="true" t="shared" si="5" ref="D50:M50">AVERAGE(D31:D47)</f>
        <v>337.5</v>
      </c>
      <c r="E50" s="181"/>
      <c r="F50" s="181">
        <f t="shared" si="5"/>
        <v>410.2857142857143</v>
      </c>
      <c r="G50" s="181">
        <f t="shared" si="5"/>
        <v>368.125</v>
      </c>
      <c r="H50" s="181"/>
      <c r="I50" s="181">
        <f t="shared" si="5"/>
        <v>419.6</v>
      </c>
      <c r="J50" s="181">
        <f t="shared" si="5"/>
        <v>404.93333333333334</v>
      </c>
      <c r="K50" s="181"/>
      <c r="L50" s="181"/>
      <c r="M50" s="181">
        <f t="shared" si="5"/>
        <v>373</v>
      </c>
      <c r="N50" s="181"/>
      <c r="O50" s="3" t="s">
        <v>35</v>
      </c>
      <c r="P50" s="185" t="s">
        <v>135</v>
      </c>
      <c r="Q50" s="185"/>
      <c r="R50" s="3" t="s">
        <v>36</v>
      </c>
      <c r="S50" s="11" t="s">
        <v>136</v>
      </c>
      <c r="U50" s="14" t="s">
        <v>150</v>
      </c>
    </row>
    <row r="51" spans="15:21" ht="15.75">
      <c r="O51" s="6">
        <f>SUM(O31:O47)</f>
        <v>37740</v>
      </c>
      <c r="P51" s="6">
        <f>SUM(P31:P47)</f>
        <v>40</v>
      </c>
      <c r="Q51" s="6">
        <f>SUM(Q31:Q47)</f>
        <v>88</v>
      </c>
      <c r="R51" s="6">
        <f>SUM(R31:R47)</f>
        <v>-2082</v>
      </c>
      <c r="S51" s="6">
        <f>SUM(S31:S47)</f>
        <v>4</v>
      </c>
      <c r="U51" s="2">
        <f>P51-Q51</f>
        <v>-48</v>
      </c>
    </row>
    <row r="53" spans="15:16" ht="15.75">
      <c r="O53" s="1" t="s">
        <v>153</v>
      </c>
      <c r="P53" s="19">
        <f>SUM(O30:O48)/16</f>
        <v>2358.75</v>
      </c>
    </row>
  </sheetData>
  <mergeCells count="9">
    <mergeCell ref="P50:Q50"/>
    <mergeCell ref="E28:F28"/>
    <mergeCell ref="P1:Q1"/>
    <mergeCell ref="C24:D24"/>
    <mergeCell ref="P21:Q21"/>
    <mergeCell ref="K26:L26"/>
    <mergeCell ref="C25:D25"/>
    <mergeCell ref="C26:D26"/>
    <mergeCell ref="C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workbookViewId="0" topLeftCell="A19">
      <selection activeCell="U51" sqref="U5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5" width="9.25390625" style="1" bestFit="1" customWidth="1"/>
    <col min="6" max="7" width="16.00390625" style="1" bestFit="1" customWidth="1"/>
    <col min="8" max="9" width="9.25390625" style="1" bestFit="1" customWidth="1"/>
    <col min="10" max="10" width="12.00390625" style="1" customWidth="1"/>
    <col min="11" max="11" width="10.625" style="1" bestFit="1" customWidth="1"/>
    <col min="12" max="12" width="9.25390625" style="1" bestFit="1" customWidth="1"/>
    <col min="13" max="13" width="9.25390625" style="1" customWidth="1"/>
    <col min="14" max="14" width="11.375" style="1" customWidth="1"/>
    <col min="15" max="15" width="18.25390625" style="1" bestFit="1" customWidth="1"/>
    <col min="16" max="16" width="11.25390625" style="1" customWidth="1"/>
    <col min="17" max="17" width="10.375" style="1" customWidth="1"/>
    <col min="18" max="18" width="13.375" style="1" customWidth="1"/>
    <col min="19" max="19" width="11.00390625" style="1" customWidth="1"/>
    <col min="21" max="21" width="15.75390625" style="0" bestFit="1" customWidth="1"/>
  </cols>
  <sheetData>
    <row r="1" spans="3:22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P1" s="185" t="s">
        <v>33</v>
      </c>
      <c r="Q1" s="185"/>
      <c r="T1" s="2"/>
      <c r="U1" s="2"/>
      <c r="V1" s="2"/>
    </row>
    <row r="2" spans="2:19" ht="34.5" customHeight="1" thickBot="1">
      <c r="B2" s="3" t="s">
        <v>29</v>
      </c>
      <c r="C2" s="9" t="s">
        <v>209</v>
      </c>
      <c r="D2" s="9" t="s">
        <v>210</v>
      </c>
      <c r="E2" s="9"/>
      <c r="F2" s="9" t="s">
        <v>240</v>
      </c>
      <c r="G2" s="9" t="s">
        <v>233</v>
      </c>
      <c r="H2" s="9" t="s">
        <v>211</v>
      </c>
      <c r="I2" s="9" t="s">
        <v>212</v>
      </c>
      <c r="J2" s="9" t="s">
        <v>213</v>
      </c>
      <c r="K2" s="9" t="s">
        <v>214</v>
      </c>
      <c r="L2" s="9" t="s">
        <v>215</v>
      </c>
      <c r="M2" s="9" t="s">
        <v>178</v>
      </c>
      <c r="N2" s="9" t="s">
        <v>227</v>
      </c>
      <c r="O2" s="12" t="s">
        <v>35</v>
      </c>
      <c r="P2" s="12" t="s">
        <v>199</v>
      </c>
      <c r="Q2" s="12" t="s">
        <v>34</v>
      </c>
      <c r="R2" s="12" t="s">
        <v>36</v>
      </c>
      <c r="S2" s="11" t="s">
        <v>134</v>
      </c>
    </row>
    <row r="3" spans="1:19" s="34" customFormat="1" ht="15.75">
      <c r="A3" s="29" t="s">
        <v>0</v>
      </c>
      <c r="B3" s="29" t="s">
        <v>19</v>
      </c>
      <c r="C3" s="48">
        <v>136</v>
      </c>
      <c r="D3" s="48">
        <v>187</v>
      </c>
      <c r="E3" s="48"/>
      <c r="F3" s="48"/>
      <c r="G3" s="48"/>
      <c r="H3" s="74">
        <v>417</v>
      </c>
      <c r="I3" s="48">
        <v>335</v>
      </c>
      <c r="J3" s="74">
        <v>393</v>
      </c>
      <c r="K3" s="48">
        <v>347</v>
      </c>
      <c r="L3" s="48">
        <v>389</v>
      </c>
      <c r="M3" s="48"/>
      <c r="N3" s="44"/>
      <c r="O3" s="32">
        <f aca="true" t="shared" si="0" ref="O3:O19">SUM(C3:N3)</f>
        <v>2204</v>
      </c>
      <c r="P3" s="29">
        <v>2</v>
      </c>
      <c r="Q3" s="29">
        <v>6</v>
      </c>
      <c r="R3" s="29">
        <v>-139</v>
      </c>
      <c r="S3" s="29">
        <v>0</v>
      </c>
    </row>
    <row r="4" spans="1:19" s="25" customFormat="1" ht="15.75">
      <c r="A4" s="20" t="s">
        <v>1</v>
      </c>
      <c r="B4" s="20" t="s">
        <v>24</v>
      </c>
      <c r="C4" s="47"/>
      <c r="D4" s="47"/>
      <c r="E4" s="47"/>
      <c r="F4" s="47"/>
      <c r="G4" s="47"/>
      <c r="H4" s="73">
        <v>420</v>
      </c>
      <c r="I4" s="47"/>
      <c r="J4" s="73">
        <v>418</v>
      </c>
      <c r="K4" s="47">
        <v>366</v>
      </c>
      <c r="L4" s="73">
        <v>402</v>
      </c>
      <c r="M4" s="47">
        <v>378</v>
      </c>
      <c r="N4" s="39">
        <v>385</v>
      </c>
      <c r="O4" s="23">
        <f t="shared" si="0"/>
        <v>2369</v>
      </c>
      <c r="P4" s="20">
        <v>5</v>
      </c>
      <c r="Q4" s="20">
        <v>3</v>
      </c>
      <c r="R4" s="20">
        <v>119</v>
      </c>
      <c r="S4" s="20">
        <v>2</v>
      </c>
    </row>
    <row r="5" spans="1:19" s="34" customFormat="1" ht="15.75">
      <c r="A5" s="29" t="s">
        <v>2</v>
      </c>
      <c r="B5" s="29" t="s">
        <v>16</v>
      </c>
      <c r="C5" s="48"/>
      <c r="D5" s="48">
        <v>384</v>
      </c>
      <c r="E5" s="48"/>
      <c r="F5" s="48"/>
      <c r="G5" s="48"/>
      <c r="H5" s="74">
        <v>430</v>
      </c>
      <c r="I5" s="48">
        <v>174</v>
      </c>
      <c r="J5" s="48">
        <v>379</v>
      </c>
      <c r="K5" s="48">
        <v>371</v>
      </c>
      <c r="L5" s="48">
        <v>397</v>
      </c>
      <c r="M5" s="48">
        <v>154</v>
      </c>
      <c r="N5" s="44"/>
      <c r="O5" s="32">
        <f t="shared" si="0"/>
        <v>2289</v>
      </c>
      <c r="P5" s="29">
        <v>1</v>
      </c>
      <c r="Q5" s="29">
        <v>7</v>
      </c>
      <c r="R5" s="29">
        <v>-208</v>
      </c>
      <c r="S5" s="29">
        <v>0</v>
      </c>
    </row>
    <row r="6" spans="1:19" s="64" customFormat="1" ht="15.75">
      <c r="A6" s="63" t="s">
        <v>3</v>
      </c>
      <c r="B6" s="63" t="s">
        <v>23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3"/>
      <c r="O6" s="71">
        <f t="shared" si="0"/>
        <v>0</v>
      </c>
      <c r="P6" s="63"/>
      <c r="Q6" s="63"/>
      <c r="R6" s="63"/>
      <c r="S6" s="63"/>
    </row>
    <row r="7" spans="1:19" s="25" customFormat="1" ht="15.75">
      <c r="A7" s="20" t="s">
        <v>4</v>
      </c>
      <c r="B7" s="20" t="s">
        <v>21</v>
      </c>
      <c r="C7" s="49"/>
      <c r="D7" s="49">
        <v>374</v>
      </c>
      <c r="E7" s="49"/>
      <c r="F7" s="49"/>
      <c r="G7" s="49">
        <v>142</v>
      </c>
      <c r="H7" s="73">
        <v>411</v>
      </c>
      <c r="I7" s="47">
        <v>183</v>
      </c>
      <c r="J7" s="77">
        <v>382</v>
      </c>
      <c r="K7" s="49"/>
      <c r="L7" s="49">
        <v>344</v>
      </c>
      <c r="M7" s="49"/>
      <c r="N7" s="107">
        <v>385</v>
      </c>
      <c r="O7" s="23">
        <f t="shared" si="0"/>
        <v>2221</v>
      </c>
      <c r="P7" s="20">
        <v>3</v>
      </c>
      <c r="Q7" s="20">
        <v>5</v>
      </c>
      <c r="R7" s="20">
        <v>-191</v>
      </c>
      <c r="S7" s="20">
        <v>0</v>
      </c>
    </row>
    <row r="8" spans="1:19" s="34" customFormat="1" ht="15.75">
      <c r="A8" s="29" t="s">
        <v>5</v>
      </c>
      <c r="B8" s="29" t="s">
        <v>25</v>
      </c>
      <c r="C8" s="48">
        <v>316</v>
      </c>
      <c r="D8" s="48"/>
      <c r="E8" s="48"/>
      <c r="F8" s="48"/>
      <c r="G8" s="48">
        <v>148</v>
      </c>
      <c r="H8" s="74">
        <v>396</v>
      </c>
      <c r="I8" s="48">
        <v>199</v>
      </c>
      <c r="J8" s="48">
        <v>371</v>
      </c>
      <c r="K8" s="48">
        <v>351</v>
      </c>
      <c r="L8" s="48"/>
      <c r="M8" s="48"/>
      <c r="N8" s="44">
        <v>373</v>
      </c>
      <c r="O8" s="32">
        <f t="shared" si="0"/>
        <v>2154</v>
      </c>
      <c r="P8" s="29">
        <v>1</v>
      </c>
      <c r="Q8" s="29">
        <v>7</v>
      </c>
      <c r="R8" s="29">
        <v>-274</v>
      </c>
      <c r="S8" s="29">
        <v>0</v>
      </c>
    </row>
    <row r="9" spans="1:19" s="25" customFormat="1" ht="15.75">
      <c r="A9" s="20" t="s">
        <v>6</v>
      </c>
      <c r="B9" s="20" t="s">
        <v>17</v>
      </c>
      <c r="C9" s="47">
        <v>337</v>
      </c>
      <c r="D9" s="73">
        <v>408</v>
      </c>
      <c r="E9" s="73"/>
      <c r="F9" s="47"/>
      <c r="G9" s="47"/>
      <c r="H9" s="47">
        <v>406</v>
      </c>
      <c r="I9" s="47"/>
      <c r="J9" s="47">
        <v>363</v>
      </c>
      <c r="K9" s="47"/>
      <c r="L9" s="47">
        <v>400</v>
      </c>
      <c r="M9" s="47">
        <v>378</v>
      </c>
      <c r="N9" s="39"/>
      <c r="O9" s="23">
        <f t="shared" si="0"/>
        <v>2292</v>
      </c>
      <c r="P9" s="20">
        <v>1</v>
      </c>
      <c r="Q9" s="20">
        <v>7</v>
      </c>
      <c r="R9" s="20">
        <v>-206</v>
      </c>
      <c r="S9" s="20">
        <v>0</v>
      </c>
    </row>
    <row r="10" spans="1:19" s="34" customFormat="1" ht="15.75">
      <c r="A10" s="29" t="s">
        <v>7</v>
      </c>
      <c r="B10" s="35" t="s">
        <v>15</v>
      </c>
      <c r="C10" s="48">
        <v>355</v>
      </c>
      <c r="D10" s="48">
        <v>359</v>
      </c>
      <c r="E10" s="48"/>
      <c r="F10" s="48"/>
      <c r="G10" s="48"/>
      <c r="H10" s="48"/>
      <c r="I10" s="48"/>
      <c r="J10" s="48">
        <v>347</v>
      </c>
      <c r="K10" s="48"/>
      <c r="L10" s="74">
        <v>395</v>
      </c>
      <c r="M10" s="48">
        <v>338</v>
      </c>
      <c r="N10" s="44">
        <v>385</v>
      </c>
      <c r="O10" s="32">
        <f t="shared" si="0"/>
        <v>2179</v>
      </c>
      <c r="P10" s="29">
        <v>1</v>
      </c>
      <c r="Q10" s="29">
        <v>7</v>
      </c>
      <c r="R10" s="29">
        <v>-316</v>
      </c>
      <c r="S10" s="29">
        <v>0</v>
      </c>
    </row>
    <row r="11" spans="1:19" s="25" customFormat="1" ht="15.75">
      <c r="A11" s="20" t="s">
        <v>8</v>
      </c>
      <c r="B11" s="20" t="s">
        <v>27</v>
      </c>
      <c r="C11" s="47">
        <v>135</v>
      </c>
      <c r="D11" s="47">
        <v>359</v>
      </c>
      <c r="E11" s="47"/>
      <c r="F11" s="47"/>
      <c r="G11" s="47"/>
      <c r="H11" s="73">
        <v>413</v>
      </c>
      <c r="I11" s="47">
        <v>349</v>
      </c>
      <c r="J11" s="47"/>
      <c r="K11" s="47">
        <v>363</v>
      </c>
      <c r="L11" s="47"/>
      <c r="M11" s="47">
        <v>193</v>
      </c>
      <c r="N11" s="39">
        <v>377</v>
      </c>
      <c r="O11" s="23">
        <f t="shared" si="0"/>
        <v>2189</v>
      </c>
      <c r="P11" s="20">
        <v>1</v>
      </c>
      <c r="Q11" s="20">
        <v>7</v>
      </c>
      <c r="R11" s="23">
        <v>-371</v>
      </c>
      <c r="S11" s="20">
        <v>0</v>
      </c>
    </row>
    <row r="12" spans="1:19" s="34" customFormat="1" ht="15.75">
      <c r="A12" s="29" t="s">
        <v>9</v>
      </c>
      <c r="B12" s="29" t="s">
        <v>32</v>
      </c>
      <c r="C12" s="48"/>
      <c r="D12" s="48"/>
      <c r="E12" s="48"/>
      <c r="F12" s="48"/>
      <c r="G12" s="48"/>
      <c r="H12" s="74">
        <v>410</v>
      </c>
      <c r="I12" s="48">
        <v>174</v>
      </c>
      <c r="J12" s="48">
        <v>391</v>
      </c>
      <c r="K12" s="48">
        <v>399</v>
      </c>
      <c r="L12" s="48">
        <v>392</v>
      </c>
      <c r="M12" s="48">
        <v>189</v>
      </c>
      <c r="N12" s="78">
        <v>405</v>
      </c>
      <c r="O12" s="32">
        <f t="shared" si="0"/>
        <v>2360</v>
      </c>
      <c r="P12" s="29">
        <v>2</v>
      </c>
      <c r="Q12" s="29">
        <v>6</v>
      </c>
      <c r="R12" s="32">
        <v>-162</v>
      </c>
      <c r="S12" s="29">
        <v>0</v>
      </c>
    </row>
    <row r="13" spans="1:19" s="25" customFormat="1" ht="15.75">
      <c r="A13" s="20" t="s">
        <v>10</v>
      </c>
      <c r="B13" s="20" t="s">
        <v>28</v>
      </c>
      <c r="C13" s="47"/>
      <c r="D13" s="47">
        <v>394</v>
      </c>
      <c r="E13" s="47"/>
      <c r="F13" s="47"/>
      <c r="G13" s="47"/>
      <c r="H13" s="73">
        <v>430</v>
      </c>
      <c r="I13" s="47">
        <v>379</v>
      </c>
      <c r="J13" s="47">
        <v>367</v>
      </c>
      <c r="K13" s="47">
        <v>373</v>
      </c>
      <c r="L13" s="47"/>
      <c r="M13" s="47">
        <v>391</v>
      </c>
      <c r="N13" s="39"/>
      <c r="O13" s="23">
        <f t="shared" si="0"/>
        <v>2334</v>
      </c>
      <c r="P13" s="20">
        <v>1</v>
      </c>
      <c r="Q13" s="20">
        <v>7</v>
      </c>
      <c r="R13" s="20">
        <v>-85</v>
      </c>
      <c r="S13" s="20">
        <v>0</v>
      </c>
    </row>
    <row r="14" spans="1:19" s="34" customFormat="1" ht="15.75">
      <c r="A14" s="29" t="s">
        <v>11</v>
      </c>
      <c r="B14" s="29" t="s">
        <v>198</v>
      </c>
      <c r="C14" s="48"/>
      <c r="D14" s="48">
        <v>374</v>
      </c>
      <c r="E14" s="48"/>
      <c r="F14" s="48"/>
      <c r="G14" s="48"/>
      <c r="H14" s="74">
        <v>408</v>
      </c>
      <c r="I14" s="48"/>
      <c r="J14" s="48">
        <v>364</v>
      </c>
      <c r="K14" s="48">
        <v>366</v>
      </c>
      <c r="L14" s="74">
        <v>430</v>
      </c>
      <c r="M14" s="48"/>
      <c r="N14" s="44">
        <v>400</v>
      </c>
      <c r="O14" s="32">
        <f t="shared" si="0"/>
        <v>2342</v>
      </c>
      <c r="P14" s="29">
        <v>2</v>
      </c>
      <c r="Q14" s="29">
        <v>6</v>
      </c>
      <c r="R14" s="29">
        <v>-104</v>
      </c>
      <c r="S14" s="29">
        <v>0</v>
      </c>
    </row>
    <row r="15" spans="1:19" s="25" customFormat="1" ht="15.75">
      <c r="A15" s="20" t="s">
        <v>12</v>
      </c>
      <c r="B15" s="20" t="s">
        <v>18</v>
      </c>
      <c r="C15" s="47">
        <v>304</v>
      </c>
      <c r="D15" s="47"/>
      <c r="E15" s="47"/>
      <c r="F15" s="47"/>
      <c r="G15" s="47"/>
      <c r="H15" s="47"/>
      <c r="I15" s="47"/>
      <c r="J15" s="73">
        <v>411</v>
      </c>
      <c r="K15" s="47">
        <v>334</v>
      </c>
      <c r="L15" s="73">
        <v>413</v>
      </c>
      <c r="M15" s="47">
        <v>365</v>
      </c>
      <c r="N15" s="107">
        <v>428</v>
      </c>
      <c r="O15" s="23">
        <f t="shared" si="0"/>
        <v>2255</v>
      </c>
      <c r="P15" s="20">
        <v>3</v>
      </c>
      <c r="Q15" s="20">
        <v>5</v>
      </c>
      <c r="R15" s="23">
        <v>-215</v>
      </c>
      <c r="S15" s="20">
        <v>0</v>
      </c>
    </row>
    <row r="16" spans="1:19" s="34" customFormat="1" ht="15.75">
      <c r="A16" s="29" t="s">
        <v>13</v>
      </c>
      <c r="B16" s="29" t="s">
        <v>26</v>
      </c>
      <c r="C16" s="48"/>
      <c r="D16" s="74">
        <v>440</v>
      </c>
      <c r="E16" s="74"/>
      <c r="F16" s="48"/>
      <c r="G16" s="48"/>
      <c r="H16" s="48"/>
      <c r="I16" s="48"/>
      <c r="J16" s="48">
        <v>350</v>
      </c>
      <c r="K16" s="48">
        <v>391</v>
      </c>
      <c r="L16" s="48">
        <v>414</v>
      </c>
      <c r="M16" s="48">
        <v>409</v>
      </c>
      <c r="N16" s="78">
        <v>427</v>
      </c>
      <c r="O16" s="23">
        <f t="shared" si="0"/>
        <v>2431</v>
      </c>
      <c r="P16" s="29">
        <v>2</v>
      </c>
      <c r="Q16" s="29">
        <v>6</v>
      </c>
      <c r="R16" s="32">
        <v>-81</v>
      </c>
      <c r="S16" s="29">
        <v>0</v>
      </c>
    </row>
    <row r="17" spans="1:19" s="25" customFormat="1" ht="15.75">
      <c r="A17" s="20" t="s">
        <v>14</v>
      </c>
      <c r="B17" s="20" t="s">
        <v>20</v>
      </c>
      <c r="C17" s="47"/>
      <c r="D17" s="47">
        <v>360</v>
      </c>
      <c r="E17" s="47"/>
      <c r="F17" s="47">
        <v>357</v>
      </c>
      <c r="G17" s="47"/>
      <c r="H17" s="73">
        <v>429</v>
      </c>
      <c r="I17" s="47"/>
      <c r="J17" s="47">
        <v>398</v>
      </c>
      <c r="K17" s="47"/>
      <c r="L17" s="47">
        <v>377</v>
      </c>
      <c r="M17" s="47">
        <v>357</v>
      </c>
      <c r="N17" s="39"/>
      <c r="O17" s="23">
        <f t="shared" si="0"/>
        <v>2278</v>
      </c>
      <c r="P17" s="20">
        <v>1</v>
      </c>
      <c r="Q17" s="20">
        <v>7</v>
      </c>
      <c r="R17" s="23">
        <v>-259</v>
      </c>
      <c r="S17" s="20">
        <v>0</v>
      </c>
    </row>
    <row r="18" spans="1:19" s="34" customFormat="1" ht="15.75">
      <c r="A18" s="29" t="s">
        <v>234</v>
      </c>
      <c r="B18" s="29" t="s">
        <v>22</v>
      </c>
      <c r="C18" s="48">
        <v>153</v>
      </c>
      <c r="D18" s="74">
        <v>401</v>
      </c>
      <c r="E18" s="74"/>
      <c r="F18" s="48"/>
      <c r="G18" s="48"/>
      <c r="H18" s="48">
        <v>399</v>
      </c>
      <c r="I18" s="48"/>
      <c r="J18" s="48">
        <v>350</v>
      </c>
      <c r="K18" s="48"/>
      <c r="L18" s="48">
        <v>391</v>
      </c>
      <c r="M18" s="48">
        <v>211</v>
      </c>
      <c r="N18" s="44">
        <v>401</v>
      </c>
      <c r="O18" s="32">
        <f t="shared" si="0"/>
        <v>2306</v>
      </c>
      <c r="P18" s="29">
        <v>1</v>
      </c>
      <c r="Q18" s="29">
        <v>7</v>
      </c>
      <c r="R18" s="32">
        <v>-268</v>
      </c>
      <c r="S18" s="29">
        <v>0</v>
      </c>
    </row>
    <row r="19" spans="1:19" s="25" customFormat="1" ht="16.5" thickBot="1">
      <c r="A19" s="20" t="s">
        <v>235</v>
      </c>
      <c r="B19" s="20" t="s">
        <v>30</v>
      </c>
      <c r="C19" s="53">
        <v>342</v>
      </c>
      <c r="D19" s="53"/>
      <c r="E19" s="53"/>
      <c r="F19" s="53"/>
      <c r="G19" s="53"/>
      <c r="H19" s="53"/>
      <c r="I19" s="53">
        <v>382</v>
      </c>
      <c r="J19" s="53">
        <v>364</v>
      </c>
      <c r="K19" s="53">
        <v>383</v>
      </c>
      <c r="L19" s="134">
        <v>425</v>
      </c>
      <c r="M19" s="53"/>
      <c r="N19" s="54">
        <v>387</v>
      </c>
      <c r="O19" s="55">
        <f t="shared" si="0"/>
        <v>2283</v>
      </c>
      <c r="P19" s="28">
        <v>1</v>
      </c>
      <c r="Q19" s="28">
        <v>7</v>
      </c>
      <c r="R19" s="27"/>
      <c r="S19" s="28">
        <v>0</v>
      </c>
    </row>
    <row r="20" spans="3:14" ht="16.5" thickTop="1">
      <c r="C20" s="6">
        <f aca="true" t="shared" si="1" ref="C20:N20">SUM(C3:C19)</f>
        <v>2078</v>
      </c>
      <c r="D20" s="6">
        <f t="shared" si="1"/>
        <v>4040</v>
      </c>
      <c r="E20" s="6"/>
      <c r="F20" s="6">
        <f t="shared" si="1"/>
        <v>357</v>
      </c>
      <c r="G20" s="6">
        <f>SUM(G3:G19)</f>
        <v>290</v>
      </c>
      <c r="H20" s="6">
        <f t="shared" si="1"/>
        <v>4969</v>
      </c>
      <c r="I20" s="6">
        <f t="shared" si="1"/>
        <v>2175</v>
      </c>
      <c r="J20" s="6">
        <f t="shared" si="1"/>
        <v>5648</v>
      </c>
      <c r="K20" s="6">
        <f t="shared" si="1"/>
        <v>4044</v>
      </c>
      <c r="L20" s="6">
        <f t="shared" si="1"/>
        <v>5169</v>
      </c>
      <c r="M20" s="6">
        <f t="shared" si="1"/>
        <v>3363</v>
      </c>
      <c r="N20" s="6">
        <f t="shared" si="1"/>
        <v>4353</v>
      </c>
    </row>
    <row r="21" spans="2:21" ht="35.25" customHeight="1">
      <c r="B21" s="12" t="s">
        <v>152</v>
      </c>
      <c r="C21" s="17">
        <f>C20/6.5</f>
        <v>319.6923076923077</v>
      </c>
      <c r="D21" s="17">
        <f>D20/10.5</f>
        <v>384.76190476190476</v>
      </c>
      <c r="E21" s="17"/>
      <c r="F21" s="17">
        <f>AVERAGE(F17)</f>
        <v>357</v>
      </c>
      <c r="G21" s="17">
        <f>G20/1</f>
        <v>290</v>
      </c>
      <c r="H21" s="17">
        <f>AVERAGE(H3:H19)</f>
        <v>414.0833333333333</v>
      </c>
      <c r="I21" s="17">
        <f>I20/6</f>
        <v>362.5</v>
      </c>
      <c r="J21" s="17">
        <f>AVERAGE(J3:J19)</f>
        <v>376.53333333333336</v>
      </c>
      <c r="K21" s="17">
        <f>AVERAGE(K3:K19)</f>
        <v>367.6363636363636</v>
      </c>
      <c r="L21" s="17">
        <f>AVERAGE(L3:L19)</f>
        <v>397.61538461538464</v>
      </c>
      <c r="M21" s="17">
        <f>M20/9</f>
        <v>373.6666666666667</v>
      </c>
      <c r="N21" s="17">
        <f>AVERAGE(N3:N19)</f>
        <v>395.72727272727275</v>
      </c>
      <c r="O21" s="3" t="s">
        <v>35</v>
      </c>
      <c r="P21" s="185" t="s">
        <v>135</v>
      </c>
      <c r="Q21" s="185"/>
      <c r="R21" s="3" t="s">
        <v>36</v>
      </c>
      <c r="S21" s="11" t="s">
        <v>136</v>
      </c>
      <c r="U21" s="14" t="s">
        <v>150</v>
      </c>
    </row>
    <row r="22" spans="15:21" ht="15.75">
      <c r="O22" s="6">
        <f>SUM(O3:O19)</f>
        <v>36486</v>
      </c>
      <c r="P22" s="1">
        <f>SUM(P3:P19)</f>
        <v>28</v>
      </c>
      <c r="Q22" s="1">
        <f>SUM(Q3:Q19)</f>
        <v>100</v>
      </c>
      <c r="R22" s="1">
        <f>SUM(R3:R19)</f>
        <v>-2760</v>
      </c>
      <c r="S22" s="1">
        <f>SUM(S3:S19)</f>
        <v>2</v>
      </c>
      <c r="U22" s="2">
        <f>P22-Q22</f>
        <v>-72</v>
      </c>
    </row>
    <row r="24" spans="3:16" ht="15.75">
      <c r="C24" s="190" t="s">
        <v>48</v>
      </c>
      <c r="D24" s="190"/>
      <c r="E24" s="112"/>
      <c r="F24" s="112"/>
      <c r="G24" s="112"/>
      <c r="O24" s="1" t="s">
        <v>153</v>
      </c>
      <c r="P24" s="19">
        <f>SUM(O3:O19)/16</f>
        <v>2280.375</v>
      </c>
    </row>
    <row r="25" spans="3:7" ht="15.75">
      <c r="C25" s="188" t="s">
        <v>157</v>
      </c>
      <c r="D25" s="188"/>
      <c r="E25" s="37"/>
      <c r="F25" s="37"/>
      <c r="G25" s="37"/>
    </row>
    <row r="26" spans="3:15" ht="15.75">
      <c r="C26" s="189" t="s">
        <v>158</v>
      </c>
      <c r="D26" s="189"/>
      <c r="E26" s="35"/>
      <c r="F26" s="35"/>
      <c r="G26" s="35"/>
      <c r="L26" s="185" t="s">
        <v>183</v>
      </c>
      <c r="M26" s="185"/>
      <c r="N26" s="3" t="s">
        <v>184</v>
      </c>
      <c r="O26" s="14" t="s">
        <v>150</v>
      </c>
    </row>
    <row r="27" spans="12:15" ht="15.75">
      <c r="L27" s="1">
        <f>P22+P48</f>
        <v>65</v>
      </c>
      <c r="M27" s="1">
        <f>Q22+Q48</f>
        <v>191</v>
      </c>
      <c r="N27" s="1">
        <f>S22+S48</f>
        <v>7</v>
      </c>
      <c r="O27" s="1">
        <f>L27-M27</f>
        <v>-126</v>
      </c>
    </row>
    <row r="28" spans="1:8" ht="15.75">
      <c r="A28" s="128" t="s">
        <v>169</v>
      </c>
      <c r="B28" s="129"/>
      <c r="C28" s="129" t="s">
        <v>176</v>
      </c>
      <c r="D28" s="129" t="s">
        <v>174</v>
      </c>
      <c r="E28" s="129"/>
      <c r="F28" s="129"/>
      <c r="G28" s="186" t="s">
        <v>172</v>
      </c>
      <c r="H28" s="186"/>
    </row>
    <row r="29" ht="15.75">
      <c r="I29" s="57"/>
    </row>
    <row r="30" spans="2:19" ht="34.5" customHeight="1" thickBot="1">
      <c r="B30" s="3" t="s">
        <v>29</v>
      </c>
      <c r="C30" s="9" t="s">
        <v>209</v>
      </c>
      <c r="D30" s="126" t="s">
        <v>210</v>
      </c>
      <c r="E30" s="126" t="s">
        <v>38</v>
      </c>
      <c r="F30" s="9" t="s">
        <v>240</v>
      </c>
      <c r="G30" s="9" t="s">
        <v>233</v>
      </c>
      <c r="H30" s="9" t="s">
        <v>211</v>
      </c>
      <c r="I30" s="9" t="s">
        <v>212</v>
      </c>
      <c r="J30" s="9" t="s">
        <v>213</v>
      </c>
      <c r="K30" s="9" t="s">
        <v>214</v>
      </c>
      <c r="L30" s="9" t="s">
        <v>215</v>
      </c>
      <c r="M30" s="9" t="s">
        <v>178</v>
      </c>
      <c r="N30" s="9" t="s">
        <v>227</v>
      </c>
      <c r="O30" s="12" t="s">
        <v>35</v>
      </c>
      <c r="P30" s="12" t="s">
        <v>199</v>
      </c>
      <c r="Q30" s="12" t="s">
        <v>34</v>
      </c>
      <c r="R30" s="12" t="s">
        <v>36</v>
      </c>
      <c r="S30" s="11" t="s">
        <v>134</v>
      </c>
    </row>
    <row r="31" spans="1:19" s="25" customFormat="1" ht="15.75">
      <c r="A31" s="20" t="s">
        <v>185</v>
      </c>
      <c r="B31" s="20" t="s">
        <v>19</v>
      </c>
      <c r="C31" s="37"/>
      <c r="D31" s="79">
        <v>403</v>
      </c>
      <c r="E31" s="79">
        <v>426</v>
      </c>
      <c r="F31" s="37"/>
      <c r="G31" s="37"/>
      <c r="H31" s="37">
        <v>397</v>
      </c>
      <c r="I31" s="37"/>
      <c r="J31" s="37"/>
      <c r="K31" s="37"/>
      <c r="L31" s="37">
        <v>386</v>
      </c>
      <c r="M31" s="79">
        <v>400</v>
      </c>
      <c r="N31" s="37">
        <v>380</v>
      </c>
      <c r="O31" s="20">
        <f aca="true" t="shared" si="2" ref="O31:O46">SUM(C31:N31)</f>
        <v>2392</v>
      </c>
      <c r="P31" s="20">
        <v>5</v>
      </c>
      <c r="Q31" s="20">
        <v>3</v>
      </c>
      <c r="R31" s="20">
        <v>32</v>
      </c>
      <c r="S31" s="20">
        <v>2</v>
      </c>
    </row>
    <row r="32" spans="1:19" s="34" customFormat="1" ht="15.75">
      <c r="A32" s="29" t="s">
        <v>186</v>
      </c>
      <c r="B32" s="29" t="s">
        <v>24</v>
      </c>
      <c r="C32" s="35"/>
      <c r="D32" s="35">
        <v>407</v>
      </c>
      <c r="E32" s="87">
        <v>464</v>
      </c>
      <c r="F32" s="35"/>
      <c r="G32" s="35"/>
      <c r="H32" s="35">
        <v>396</v>
      </c>
      <c r="I32" s="35"/>
      <c r="J32" s="35"/>
      <c r="K32" s="35">
        <v>370</v>
      </c>
      <c r="L32" s="87">
        <v>413</v>
      </c>
      <c r="M32" s="35">
        <v>345</v>
      </c>
      <c r="N32" s="35"/>
      <c r="O32" s="29">
        <f t="shared" si="2"/>
        <v>2395</v>
      </c>
      <c r="P32" s="29">
        <v>2</v>
      </c>
      <c r="Q32" s="29">
        <v>6</v>
      </c>
      <c r="R32" s="29">
        <v>-92</v>
      </c>
      <c r="S32" s="29">
        <v>0</v>
      </c>
    </row>
    <row r="33" spans="1:19" s="25" customFormat="1" ht="15.75">
      <c r="A33" s="20" t="s">
        <v>187</v>
      </c>
      <c r="B33" s="20" t="s">
        <v>16</v>
      </c>
      <c r="C33" s="37">
        <v>365</v>
      </c>
      <c r="D33" s="37"/>
      <c r="E33" s="37"/>
      <c r="F33" s="37"/>
      <c r="G33" s="37"/>
      <c r="H33" s="37"/>
      <c r="I33" s="37">
        <v>387</v>
      </c>
      <c r="J33" s="37">
        <v>379</v>
      </c>
      <c r="K33" s="37"/>
      <c r="L33" s="79">
        <v>420</v>
      </c>
      <c r="M33" s="37">
        <v>414</v>
      </c>
      <c r="N33" s="37">
        <v>378</v>
      </c>
      <c r="O33" s="20">
        <f t="shared" si="2"/>
        <v>2343</v>
      </c>
      <c r="P33" s="20">
        <v>1</v>
      </c>
      <c r="Q33" s="20">
        <v>7</v>
      </c>
      <c r="R33" s="20">
        <v>-291</v>
      </c>
      <c r="S33" s="20">
        <v>0</v>
      </c>
    </row>
    <row r="34" spans="1:19" s="64" customFormat="1" ht="15.75">
      <c r="A34" s="63" t="s">
        <v>188</v>
      </c>
      <c r="B34" s="63" t="s">
        <v>23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3">
        <f t="shared" si="2"/>
        <v>0</v>
      </c>
      <c r="P34" s="63"/>
      <c r="Q34" s="63"/>
      <c r="R34" s="63"/>
      <c r="S34" s="63"/>
    </row>
    <row r="35" spans="1:19" s="34" customFormat="1" ht="15.75">
      <c r="A35" s="29" t="s">
        <v>189</v>
      </c>
      <c r="B35" s="29" t="s">
        <v>21</v>
      </c>
      <c r="C35" s="35"/>
      <c r="D35" s="87">
        <v>419</v>
      </c>
      <c r="E35" s="35"/>
      <c r="F35" s="35"/>
      <c r="G35" s="35"/>
      <c r="H35" s="87">
        <v>429</v>
      </c>
      <c r="I35" s="35">
        <v>398</v>
      </c>
      <c r="J35" s="35">
        <v>389</v>
      </c>
      <c r="K35" s="35"/>
      <c r="L35" s="35"/>
      <c r="M35" s="35">
        <v>372</v>
      </c>
      <c r="N35" s="35">
        <v>397</v>
      </c>
      <c r="O35" s="29">
        <f t="shared" si="2"/>
        <v>2404</v>
      </c>
      <c r="P35" s="29">
        <v>2</v>
      </c>
      <c r="Q35" s="29">
        <v>6</v>
      </c>
      <c r="R35" s="29">
        <v>-22</v>
      </c>
      <c r="S35" s="29">
        <v>0</v>
      </c>
    </row>
    <row r="36" spans="1:19" s="25" customFormat="1" ht="15.75">
      <c r="A36" s="20" t="s">
        <v>190</v>
      </c>
      <c r="B36" s="20" t="s">
        <v>25</v>
      </c>
      <c r="C36" s="37">
        <v>366</v>
      </c>
      <c r="D36" s="37"/>
      <c r="E36" s="79">
        <v>422</v>
      </c>
      <c r="F36" s="37"/>
      <c r="G36" s="37"/>
      <c r="H36" s="37">
        <v>415</v>
      </c>
      <c r="I36" s="37"/>
      <c r="J36" s="37">
        <v>417</v>
      </c>
      <c r="K36" s="37"/>
      <c r="L36" s="79">
        <v>438</v>
      </c>
      <c r="M36" s="37"/>
      <c r="N36" s="79">
        <v>420</v>
      </c>
      <c r="O36" s="20">
        <f t="shared" si="2"/>
        <v>2478</v>
      </c>
      <c r="P36" s="20">
        <v>3</v>
      </c>
      <c r="Q36" s="20">
        <v>5</v>
      </c>
      <c r="R36" s="20">
        <v>-54</v>
      </c>
      <c r="S36" s="20">
        <v>0</v>
      </c>
    </row>
    <row r="37" spans="1:19" s="34" customFormat="1" ht="15.75">
      <c r="A37" s="29" t="s">
        <v>191</v>
      </c>
      <c r="B37" s="29" t="s">
        <v>17</v>
      </c>
      <c r="C37" s="35"/>
      <c r="D37" s="35">
        <v>361</v>
      </c>
      <c r="E37" s="35"/>
      <c r="F37" s="35"/>
      <c r="G37" s="35"/>
      <c r="H37" s="87">
        <v>421</v>
      </c>
      <c r="I37" s="35">
        <v>373</v>
      </c>
      <c r="J37" s="35">
        <v>346</v>
      </c>
      <c r="K37" s="35">
        <v>367</v>
      </c>
      <c r="L37" s="35">
        <v>353</v>
      </c>
      <c r="M37" s="35"/>
      <c r="N37" s="35"/>
      <c r="O37" s="29">
        <f t="shared" si="2"/>
        <v>2221</v>
      </c>
      <c r="P37" s="29">
        <v>1</v>
      </c>
      <c r="Q37" s="29">
        <v>7</v>
      </c>
      <c r="R37" s="29">
        <v>-136</v>
      </c>
      <c r="S37" s="29">
        <v>0</v>
      </c>
    </row>
    <row r="38" spans="1:19" s="25" customFormat="1" ht="15.75">
      <c r="A38" s="20" t="s">
        <v>192</v>
      </c>
      <c r="B38" s="37" t="s">
        <v>15</v>
      </c>
      <c r="C38" s="37"/>
      <c r="D38" s="37"/>
      <c r="E38" s="37">
        <v>395</v>
      </c>
      <c r="F38" s="37"/>
      <c r="G38" s="37"/>
      <c r="H38" s="79">
        <v>405</v>
      </c>
      <c r="I38" s="37">
        <v>353</v>
      </c>
      <c r="J38" s="37">
        <v>377</v>
      </c>
      <c r="K38" s="37">
        <v>379</v>
      </c>
      <c r="L38" s="37"/>
      <c r="M38" s="37">
        <v>378</v>
      </c>
      <c r="N38" s="37"/>
      <c r="O38" s="20">
        <f t="shared" si="2"/>
        <v>2287</v>
      </c>
      <c r="P38" s="20">
        <v>1</v>
      </c>
      <c r="Q38" s="20">
        <v>7</v>
      </c>
      <c r="R38" s="20">
        <v>-211</v>
      </c>
      <c r="S38" s="20">
        <v>0</v>
      </c>
    </row>
    <row r="39" spans="1:19" s="34" customFormat="1" ht="15.75">
      <c r="A39" s="29" t="s">
        <v>193</v>
      </c>
      <c r="B39" s="29" t="s">
        <v>27</v>
      </c>
      <c r="C39" s="35"/>
      <c r="D39" s="35">
        <v>387</v>
      </c>
      <c r="E39" s="87">
        <v>401</v>
      </c>
      <c r="F39" s="35"/>
      <c r="G39" s="35"/>
      <c r="H39" s="35"/>
      <c r="I39" s="35">
        <v>380</v>
      </c>
      <c r="J39" s="35">
        <v>383</v>
      </c>
      <c r="K39" s="35">
        <v>384</v>
      </c>
      <c r="L39" s="35"/>
      <c r="M39" s="35">
        <v>396</v>
      </c>
      <c r="N39" s="35"/>
      <c r="O39" s="29">
        <f t="shared" si="2"/>
        <v>2331</v>
      </c>
      <c r="P39" s="29">
        <v>1</v>
      </c>
      <c r="Q39" s="29">
        <v>7</v>
      </c>
      <c r="R39" s="29">
        <v>-179</v>
      </c>
      <c r="S39" s="29">
        <v>0</v>
      </c>
    </row>
    <row r="40" spans="1:19" s="25" customFormat="1" ht="15.75">
      <c r="A40" s="20" t="s">
        <v>194</v>
      </c>
      <c r="B40" s="20" t="s">
        <v>32</v>
      </c>
      <c r="C40" s="37"/>
      <c r="D40" s="37">
        <v>395</v>
      </c>
      <c r="E40" s="79">
        <v>417</v>
      </c>
      <c r="F40" s="37"/>
      <c r="G40" s="37"/>
      <c r="H40" s="79">
        <v>443</v>
      </c>
      <c r="I40" s="37"/>
      <c r="J40" s="37">
        <v>370</v>
      </c>
      <c r="K40" s="37"/>
      <c r="L40" s="37">
        <v>387</v>
      </c>
      <c r="M40" s="37"/>
      <c r="N40" s="37">
        <v>382</v>
      </c>
      <c r="O40" s="20">
        <f t="shared" si="2"/>
        <v>2394</v>
      </c>
      <c r="P40" s="20">
        <v>2</v>
      </c>
      <c r="Q40" s="20">
        <v>6</v>
      </c>
      <c r="R40" s="20">
        <f>O40-2457</f>
        <v>-63</v>
      </c>
      <c r="S40" s="20">
        <v>0</v>
      </c>
    </row>
    <row r="41" spans="1:19" s="34" customFormat="1" ht="15.75">
      <c r="A41" s="29" t="s">
        <v>195</v>
      </c>
      <c r="B41" s="29" t="s">
        <v>28</v>
      </c>
      <c r="C41" s="29">
        <v>357</v>
      </c>
      <c r="D41" s="29"/>
      <c r="E41" s="87">
        <v>434</v>
      </c>
      <c r="F41" s="29"/>
      <c r="G41" s="29"/>
      <c r="H41" s="29"/>
      <c r="I41" s="87">
        <v>404</v>
      </c>
      <c r="J41" s="29">
        <v>396</v>
      </c>
      <c r="K41" s="29">
        <v>379</v>
      </c>
      <c r="L41" s="29"/>
      <c r="M41" s="29">
        <v>351</v>
      </c>
      <c r="N41" s="29"/>
      <c r="O41" s="29">
        <f t="shared" si="2"/>
        <v>2321</v>
      </c>
      <c r="P41" s="29">
        <v>4</v>
      </c>
      <c r="Q41" s="29">
        <v>4</v>
      </c>
      <c r="R41" s="29">
        <v>54</v>
      </c>
      <c r="S41" s="29">
        <v>1</v>
      </c>
    </row>
    <row r="42" spans="1:19" s="25" customFormat="1" ht="15.75">
      <c r="A42" s="20" t="s">
        <v>196</v>
      </c>
      <c r="B42" s="20" t="s">
        <v>198</v>
      </c>
      <c r="C42" s="20"/>
      <c r="D42" s="79">
        <v>419</v>
      </c>
      <c r="E42" s="79">
        <v>429</v>
      </c>
      <c r="F42" s="20"/>
      <c r="G42" s="20"/>
      <c r="H42" s="20"/>
      <c r="I42" s="20"/>
      <c r="J42" s="20">
        <v>369</v>
      </c>
      <c r="K42" s="20">
        <v>394</v>
      </c>
      <c r="L42" s="79">
        <v>410</v>
      </c>
      <c r="M42" s="20"/>
      <c r="N42" s="79">
        <v>402</v>
      </c>
      <c r="O42" s="20">
        <f t="shared" si="2"/>
        <v>2423</v>
      </c>
      <c r="P42" s="20">
        <v>6</v>
      </c>
      <c r="Q42" s="20">
        <v>2</v>
      </c>
      <c r="R42" s="20">
        <v>79</v>
      </c>
      <c r="S42" s="20">
        <v>2</v>
      </c>
    </row>
    <row r="43" spans="1:19" s="34" customFormat="1" ht="15.75">
      <c r="A43" s="29" t="s">
        <v>197</v>
      </c>
      <c r="B43" s="29" t="s">
        <v>18</v>
      </c>
      <c r="C43" s="29">
        <v>373</v>
      </c>
      <c r="D43" s="87">
        <v>430</v>
      </c>
      <c r="E43" s="87">
        <v>440</v>
      </c>
      <c r="F43" s="29"/>
      <c r="G43" s="29"/>
      <c r="H43" s="29"/>
      <c r="I43" s="29"/>
      <c r="J43" s="29">
        <v>392</v>
      </c>
      <c r="K43" s="29">
        <v>408</v>
      </c>
      <c r="L43" s="29"/>
      <c r="M43" s="29"/>
      <c r="N43" s="29">
        <v>396</v>
      </c>
      <c r="O43" s="29">
        <f t="shared" si="2"/>
        <v>2439</v>
      </c>
      <c r="P43" s="29">
        <v>2</v>
      </c>
      <c r="Q43" s="29">
        <v>6</v>
      </c>
      <c r="R43" s="29">
        <v>-115</v>
      </c>
      <c r="S43" s="29">
        <v>0</v>
      </c>
    </row>
    <row r="44" spans="1:19" s="25" customFormat="1" ht="15.75">
      <c r="A44" s="20" t="s">
        <v>242</v>
      </c>
      <c r="B44" s="20" t="s">
        <v>26</v>
      </c>
      <c r="C44" s="20"/>
      <c r="D44" s="20">
        <v>384</v>
      </c>
      <c r="E44" s="79">
        <v>427</v>
      </c>
      <c r="F44" s="20"/>
      <c r="G44" s="20"/>
      <c r="H44" s="20">
        <v>422</v>
      </c>
      <c r="I44" s="20">
        <v>376</v>
      </c>
      <c r="J44" s="20">
        <v>388</v>
      </c>
      <c r="K44" s="20"/>
      <c r="L44" s="20"/>
      <c r="M44" s="20"/>
      <c r="N44" s="20">
        <v>415</v>
      </c>
      <c r="O44" s="20">
        <f t="shared" si="2"/>
        <v>2412</v>
      </c>
      <c r="P44" s="20">
        <v>1</v>
      </c>
      <c r="Q44" s="20">
        <v>7</v>
      </c>
      <c r="R44" s="20">
        <v>-166</v>
      </c>
      <c r="S44" s="20">
        <v>0</v>
      </c>
    </row>
    <row r="45" spans="1:19" s="34" customFormat="1" ht="15.75">
      <c r="A45" s="29" t="s">
        <v>243</v>
      </c>
      <c r="B45" s="29" t="s">
        <v>20</v>
      </c>
      <c r="C45" s="29"/>
      <c r="D45" s="87">
        <v>401</v>
      </c>
      <c r="E45" s="87">
        <v>436</v>
      </c>
      <c r="F45" s="29"/>
      <c r="G45" s="29"/>
      <c r="H45" s="29"/>
      <c r="I45" s="29">
        <v>398</v>
      </c>
      <c r="J45" s="29"/>
      <c r="K45" s="29">
        <v>393</v>
      </c>
      <c r="L45" s="29">
        <v>379</v>
      </c>
      <c r="M45" s="29"/>
      <c r="N45" s="29">
        <v>400</v>
      </c>
      <c r="O45" s="29">
        <f t="shared" si="2"/>
        <v>2407</v>
      </c>
      <c r="P45" s="29">
        <v>2</v>
      </c>
      <c r="Q45" s="29">
        <v>6</v>
      </c>
      <c r="R45" s="29">
        <v>-64</v>
      </c>
      <c r="S45" s="29">
        <v>0</v>
      </c>
    </row>
    <row r="46" spans="1:19" s="25" customFormat="1" ht="15.75">
      <c r="A46" s="20" t="s">
        <v>244</v>
      </c>
      <c r="B46" s="20" t="s">
        <v>22</v>
      </c>
      <c r="C46" s="79">
        <v>405</v>
      </c>
      <c r="D46" s="20">
        <v>390</v>
      </c>
      <c r="E46" s="20"/>
      <c r="F46" s="20"/>
      <c r="G46" s="20"/>
      <c r="H46" s="79">
        <v>449</v>
      </c>
      <c r="I46" s="20">
        <v>368</v>
      </c>
      <c r="J46" s="20">
        <v>373</v>
      </c>
      <c r="K46" s="20">
        <v>362</v>
      </c>
      <c r="L46" s="20"/>
      <c r="M46" s="20"/>
      <c r="N46" s="20"/>
      <c r="O46" s="20">
        <f t="shared" si="2"/>
        <v>2347</v>
      </c>
      <c r="P46" s="20">
        <v>2</v>
      </c>
      <c r="Q46" s="20">
        <v>6</v>
      </c>
      <c r="R46" s="20">
        <v>-188</v>
      </c>
      <c r="S46" s="20">
        <v>0</v>
      </c>
    </row>
    <row r="47" spans="1:19" s="34" customFormat="1" ht="16.5" thickBot="1">
      <c r="A47" s="29" t="s">
        <v>245</v>
      </c>
      <c r="B47" s="29" t="s">
        <v>30</v>
      </c>
      <c r="C47" s="29">
        <v>350</v>
      </c>
      <c r="D47" s="29">
        <v>354</v>
      </c>
      <c r="E47" s="87">
        <v>445</v>
      </c>
      <c r="F47" s="29"/>
      <c r="G47" s="29"/>
      <c r="H47" s="29"/>
      <c r="I47" s="29"/>
      <c r="J47" s="87">
        <v>408</v>
      </c>
      <c r="K47" s="29">
        <v>396</v>
      </c>
      <c r="L47" s="29">
        <v>396</v>
      </c>
      <c r="M47" s="29"/>
      <c r="N47" s="29"/>
      <c r="O47" s="29">
        <f>SUM(C47:N47)</f>
        <v>2349</v>
      </c>
      <c r="P47" s="43">
        <v>2</v>
      </c>
      <c r="Q47" s="43">
        <v>6</v>
      </c>
      <c r="R47" s="43">
        <v>-281</v>
      </c>
      <c r="S47" s="43">
        <v>0</v>
      </c>
    </row>
    <row r="48" spans="3:19" ht="16.5" thickTop="1">
      <c r="C48" s="169">
        <f>SUM(C31:C47)</f>
        <v>2216</v>
      </c>
      <c r="D48" s="169">
        <f aca="true" t="shared" si="3" ref="D48:N48">SUM(D31:D47)</f>
        <v>4750</v>
      </c>
      <c r="E48" s="169">
        <f t="shared" si="3"/>
        <v>5136</v>
      </c>
      <c r="F48" s="169"/>
      <c r="G48" s="169"/>
      <c r="H48" s="169">
        <f t="shared" si="3"/>
        <v>3777</v>
      </c>
      <c r="I48" s="169">
        <f t="shared" si="3"/>
        <v>3437</v>
      </c>
      <c r="J48" s="169">
        <f t="shared" si="3"/>
        <v>4987</v>
      </c>
      <c r="K48" s="169">
        <f t="shared" si="3"/>
        <v>3832</v>
      </c>
      <c r="L48" s="169">
        <f t="shared" si="3"/>
        <v>3582</v>
      </c>
      <c r="M48" s="169">
        <f t="shared" si="3"/>
        <v>2656</v>
      </c>
      <c r="N48" s="169">
        <f t="shared" si="3"/>
        <v>3570</v>
      </c>
      <c r="P48" s="1">
        <f>SUM(P31:P47)</f>
        <v>37</v>
      </c>
      <c r="Q48" s="1">
        <f>SUM(Q31:Q47)</f>
        <v>91</v>
      </c>
      <c r="R48" s="1">
        <f>SUM(R31:R47)</f>
        <v>-1697</v>
      </c>
      <c r="S48" s="1">
        <f>SUM(S31:S47)</f>
        <v>5</v>
      </c>
    </row>
    <row r="50" spans="2:21" ht="31.5">
      <c r="B50" s="12" t="s">
        <v>152</v>
      </c>
      <c r="C50" s="17">
        <f>AVERAGE(C31:C47)</f>
        <v>369.3333333333333</v>
      </c>
      <c r="D50" s="17">
        <f aca="true" t="shared" si="4" ref="D50:N50">AVERAGE(D31:D47)</f>
        <v>395.8333333333333</v>
      </c>
      <c r="E50" s="17">
        <f t="shared" si="4"/>
        <v>428</v>
      </c>
      <c r="F50" s="17"/>
      <c r="G50" s="17"/>
      <c r="H50" s="17">
        <f t="shared" si="4"/>
        <v>419.6666666666667</v>
      </c>
      <c r="I50" s="17">
        <f t="shared" si="4"/>
        <v>381.8888888888889</v>
      </c>
      <c r="J50" s="17">
        <f t="shared" si="4"/>
        <v>383.61538461538464</v>
      </c>
      <c r="K50" s="17">
        <f t="shared" si="4"/>
        <v>383.2</v>
      </c>
      <c r="L50" s="17">
        <f t="shared" si="4"/>
        <v>398</v>
      </c>
      <c r="M50" s="17">
        <f t="shared" si="4"/>
        <v>379.42857142857144</v>
      </c>
      <c r="N50" s="17">
        <f t="shared" si="4"/>
        <v>396.6666666666667</v>
      </c>
      <c r="O50" s="3" t="s">
        <v>35</v>
      </c>
      <c r="P50" s="185" t="s">
        <v>135</v>
      </c>
      <c r="Q50" s="185"/>
      <c r="R50" s="3" t="s">
        <v>36</v>
      </c>
      <c r="S50" s="11" t="s">
        <v>136</v>
      </c>
      <c r="U50" s="14" t="s">
        <v>150</v>
      </c>
    </row>
    <row r="51" spans="15:21" ht="15.75">
      <c r="O51" s="6">
        <f>SUM(O31:O47)</f>
        <v>37943</v>
      </c>
      <c r="P51" s="6">
        <f>SUM(P31:P47)</f>
        <v>37</v>
      </c>
      <c r="Q51" s="6">
        <f>SUM(Q31:Q47)</f>
        <v>91</v>
      </c>
      <c r="R51" s="6">
        <f>SUM(R31:R47)</f>
        <v>-1697</v>
      </c>
      <c r="S51" s="6">
        <f>SUM(S31:S47)</f>
        <v>5</v>
      </c>
      <c r="U51" s="2">
        <f>P51-Q51</f>
        <v>-54</v>
      </c>
    </row>
    <row r="53" spans="15:16" ht="15.75">
      <c r="O53" s="1" t="s">
        <v>153</v>
      </c>
      <c r="P53" s="19">
        <f>SUM(O31:O47)/16</f>
        <v>2371.4375</v>
      </c>
    </row>
  </sheetData>
  <mergeCells count="9">
    <mergeCell ref="P50:Q50"/>
    <mergeCell ref="G28:H28"/>
    <mergeCell ref="P1:Q1"/>
    <mergeCell ref="C24:D24"/>
    <mergeCell ref="P21:Q21"/>
    <mergeCell ref="L26:M26"/>
    <mergeCell ref="C25:D25"/>
    <mergeCell ref="C26:D26"/>
    <mergeCell ref="C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22"/>
  <sheetViews>
    <sheetView workbookViewId="0" topLeftCell="C3">
      <selection activeCell="I6" sqref="I6"/>
    </sheetView>
  </sheetViews>
  <sheetFormatPr defaultColWidth="9.00390625" defaultRowHeight="12.75"/>
  <cols>
    <col min="3" max="3" width="7.625" style="0" customWidth="1"/>
    <col min="4" max="4" width="12.625" style="0" bestFit="1" customWidth="1"/>
    <col min="5" max="5" width="9.875" style="0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0.375" style="0" bestFit="1" customWidth="1"/>
    <col min="12" max="12" width="6.875" style="0" customWidth="1"/>
    <col min="13" max="13" width="15.875" style="0" bestFit="1" customWidth="1"/>
  </cols>
  <sheetData>
    <row r="3" spans="4:12" ht="15.75">
      <c r="D3" s="184" t="s">
        <v>246</v>
      </c>
      <c r="E3" s="184"/>
      <c r="F3" s="184"/>
      <c r="G3" s="184"/>
      <c r="H3" s="184"/>
      <c r="I3" s="184"/>
      <c r="J3" s="184"/>
      <c r="K3" s="184"/>
      <c r="L3" s="184"/>
    </row>
    <row r="5" spans="3:13" ht="16.5" thickBot="1">
      <c r="C5" s="88"/>
      <c r="D5" s="89" t="s">
        <v>225</v>
      </c>
      <c r="E5" s="90" t="s">
        <v>220</v>
      </c>
      <c r="F5" s="91" t="s">
        <v>221</v>
      </c>
      <c r="G5" s="92" t="s">
        <v>222</v>
      </c>
      <c r="H5" s="93" t="s">
        <v>223</v>
      </c>
      <c r="I5" s="182" t="s">
        <v>224</v>
      </c>
      <c r="J5" s="183"/>
      <c r="K5" s="91" t="s">
        <v>219</v>
      </c>
      <c r="M5" s="12" t="s">
        <v>150</v>
      </c>
    </row>
    <row r="6" spans="3:13" ht="15.75">
      <c r="C6" s="94">
        <v>1</v>
      </c>
      <c r="D6" s="100" t="s">
        <v>26</v>
      </c>
      <c r="E6" s="101">
        <v>16</v>
      </c>
      <c r="F6" s="102">
        <v>14</v>
      </c>
      <c r="G6" s="94"/>
      <c r="H6" s="100">
        <v>2</v>
      </c>
      <c r="I6" s="103">
        <v>86</v>
      </c>
      <c r="J6" s="104">
        <v>42</v>
      </c>
      <c r="K6" s="86">
        <v>28</v>
      </c>
      <c r="M6" s="51">
        <v>44</v>
      </c>
    </row>
    <row r="7" spans="3:13" ht="15.75">
      <c r="C7" s="94">
        <v>2</v>
      </c>
      <c r="D7" s="100" t="s">
        <v>16</v>
      </c>
      <c r="E7" s="101">
        <v>16</v>
      </c>
      <c r="F7" s="102">
        <v>11</v>
      </c>
      <c r="G7" s="94">
        <v>2</v>
      </c>
      <c r="H7" s="100">
        <v>3</v>
      </c>
      <c r="I7" s="103">
        <v>78</v>
      </c>
      <c r="J7" s="104">
        <v>50</v>
      </c>
      <c r="K7" s="86">
        <v>24</v>
      </c>
      <c r="M7" s="51">
        <v>28</v>
      </c>
    </row>
    <row r="8" spans="3:13" ht="15.75">
      <c r="C8" s="94">
        <v>3</v>
      </c>
      <c r="D8" s="100" t="s">
        <v>20</v>
      </c>
      <c r="E8" s="101">
        <v>16</v>
      </c>
      <c r="F8" s="102">
        <v>11</v>
      </c>
      <c r="G8" s="94">
        <v>1</v>
      </c>
      <c r="H8" s="100">
        <v>4</v>
      </c>
      <c r="I8" s="103">
        <v>83</v>
      </c>
      <c r="J8" s="104">
        <v>45</v>
      </c>
      <c r="K8" s="86">
        <v>23</v>
      </c>
      <c r="M8" s="51">
        <v>38</v>
      </c>
    </row>
    <row r="9" spans="3:13" ht="15.75">
      <c r="C9" s="94">
        <v>4</v>
      </c>
      <c r="D9" s="100" t="s">
        <v>25</v>
      </c>
      <c r="E9" s="101">
        <v>16</v>
      </c>
      <c r="F9" s="102">
        <v>11</v>
      </c>
      <c r="G9" s="94">
        <v>1</v>
      </c>
      <c r="H9" s="100">
        <v>4</v>
      </c>
      <c r="I9" s="103">
        <v>79</v>
      </c>
      <c r="J9" s="104">
        <v>49</v>
      </c>
      <c r="K9" s="86">
        <v>23</v>
      </c>
      <c r="M9" s="51">
        <v>30</v>
      </c>
    </row>
    <row r="10" spans="3:13" ht="15.75">
      <c r="C10" s="94">
        <v>5</v>
      </c>
      <c r="D10" s="98" t="s">
        <v>30</v>
      </c>
      <c r="E10" s="101">
        <v>16</v>
      </c>
      <c r="F10" s="88">
        <v>10</v>
      </c>
      <c r="G10" s="97">
        <v>2</v>
      </c>
      <c r="H10" s="98">
        <v>4</v>
      </c>
      <c r="I10" s="103">
        <v>79</v>
      </c>
      <c r="J10" s="104">
        <v>49</v>
      </c>
      <c r="K10" s="85">
        <v>22</v>
      </c>
      <c r="M10" s="51">
        <v>30</v>
      </c>
    </row>
    <row r="11" spans="3:13" ht="15.75">
      <c r="C11" s="94">
        <v>6</v>
      </c>
      <c r="D11" s="100" t="s">
        <v>17</v>
      </c>
      <c r="E11" s="101">
        <v>16</v>
      </c>
      <c r="F11" s="102">
        <v>10</v>
      </c>
      <c r="G11" s="94">
        <v>1</v>
      </c>
      <c r="H11" s="100">
        <v>5</v>
      </c>
      <c r="I11" s="103">
        <v>77</v>
      </c>
      <c r="J11" s="104">
        <v>51</v>
      </c>
      <c r="K11" s="86">
        <v>21</v>
      </c>
      <c r="M11" s="51">
        <v>26</v>
      </c>
    </row>
    <row r="12" spans="3:13" ht="15.75">
      <c r="C12" s="94">
        <v>7</v>
      </c>
      <c r="D12" s="100" t="s">
        <v>15</v>
      </c>
      <c r="E12" s="101">
        <v>16</v>
      </c>
      <c r="F12" s="102">
        <v>9</v>
      </c>
      <c r="G12" s="94">
        <v>2</v>
      </c>
      <c r="H12" s="100">
        <v>5</v>
      </c>
      <c r="I12" s="103">
        <v>75</v>
      </c>
      <c r="J12" s="104">
        <v>53</v>
      </c>
      <c r="K12" s="86">
        <v>20</v>
      </c>
      <c r="M12" s="51">
        <v>22</v>
      </c>
    </row>
    <row r="13" spans="3:13" ht="15.75">
      <c r="C13" s="94">
        <v>8</v>
      </c>
      <c r="D13" s="95" t="s">
        <v>27</v>
      </c>
      <c r="E13" s="96">
        <v>16</v>
      </c>
      <c r="F13" s="88">
        <v>10</v>
      </c>
      <c r="G13" s="97"/>
      <c r="H13" s="98">
        <v>6</v>
      </c>
      <c r="I13" s="99">
        <v>74</v>
      </c>
      <c r="J13" s="95">
        <v>54</v>
      </c>
      <c r="K13" s="85">
        <v>20</v>
      </c>
      <c r="M13" s="51">
        <v>20</v>
      </c>
    </row>
    <row r="14" spans="3:13" ht="15.75">
      <c r="C14" s="94">
        <v>9</v>
      </c>
      <c r="D14" s="100" t="s">
        <v>22</v>
      </c>
      <c r="E14" s="101">
        <v>16</v>
      </c>
      <c r="F14" s="102">
        <v>9</v>
      </c>
      <c r="G14" s="94">
        <v>1</v>
      </c>
      <c r="H14" s="100">
        <v>6</v>
      </c>
      <c r="I14" s="103">
        <v>69</v>
      </c>
      <c r="J14" s="104">
        <v>59</v>
      </c>
      <c r="K14" s="86">
        <v>19</v>
      </c>
      <c r="M14" s="51">
        <v>10</v>
      </c>
    </row>
    <row r="15" spans="3:13" ht="15.75">
      <c r="C15" s="94">
        <v>10</v>
      </c>
      <c r="D15" s="100" t="s">
        <v>18</v>
      </c>
      <c r="E15" s="101">
        <v>16</v>
      </c>
      <c r="F15" s="102">
        <v>9</v>
      </c>
      <c r="G15" s="94"/>
      <c r="H15" s="100">
        <v>7</v>
      </c>
      <c r="I15" s="103">
        <v>67</v>
      </c>
      <c r="J15" s="104">
        <v>61</v>
      </c>
      <c r="K15" s="86">
        <v>18</v>
      </c>
      <c r="M15" s="51">
        <v>6</v>
      </c>
    </row>
    <row r="16" spans="3:13" ht="15.75">
      <c r="C16" s="94">
        <v>11</v>
      </c>
      <c r="D16" s="100" t="s">
        <v>28</v>
      </c>
      <c r="E16" s="109">
        <v>16</v>
      </c>
      <c r="F16" s="102">
        <v>8</v>
      </c>
      <c r="G16" s="94"/>
      <c r="H16" s="100">
        <v>8</v>
      </c>
      <c r="I16" s="103">
        <v>66</v>
      </c>
      <c r="J16" s="104">
        <v>62</v>
      </c>
      <c r="K16" s="86">
        <v>16</v>
      </c>
      <c r="M16" s="51">
        <v>4</v>
      </c>
    </row>
    <row r="17" spans="3:13" ht="15.75">
      <c r="C17" s="94">
        <v>12</v>
      </c>
      <c r="D17" s="100" t="s">
        <v>21</v>
      </c>
      <c r="E17" s="101">
        <v>16</v>
      </c>
      <c r="F17" s="102">
        <v>7</v>
      </c>
      <c r="G17" s="94">
        <v>1</v>
      </c>
      <c r="H17" s="100">
        <v>8</v>
      </c>
      <c r="I17" s="103">
        <v>65</v>
      </c>
      <c r="J17" s="104">
        <v>63</v>
      </c>
      <c r="K17" s="86">
        <v>15</v>
      </c>
      <c r="M17" s="51">
        <v>2</v>
      </c>
    </row>
    <row r="18" spans="3:13" ht="15.75">
      <c r="C18" s="94">
        <v>13</v>
      </c>
      <c r="D18" s="100" t="s">
        <v>19</v>
      </c>
      <c r="E18" s="101">
        <v>16</v>
      </c>
      <c r="F18" s="102">
        <v>3</v>
      </c>
      <c r="G18" s="94">
        <v>1</v>
      </c>
      <c r="H18" s="100">
        <v>12</v>
      </c>
      <c r="I18" s="103">
        <v>45</v>
      </c>
      <c r="J18" s="104">
        <v>83</v>
      </c>
      <c r="K18" s="86">
        <v>7</v>
      </c>
      <c r="M18" s="51">
        <v>-38</v>
      </c>
    </row>
    <row r="19" spans="3:13" ht="15.75">
      <c r="C19" s="94">
        <v>14</v>
      </c>
      <c r="D19" s="100" t="s">
        <v>32</v>
      </c>
      <c r="E19" s="101">
        <v>16</v>
      </c>
      <c r="F19" s="102">
        <v>3</v>
      </c>
      <c r="G19" s="94"/>
      <c r="H19" s="100">
        <v>13</v>
      </c>
      <c r="I19" s="103">
        <v>47</v>
      </c>
      <c r="J19" s="104">
        <v>81</v>
      </c>
      <c r="K19" s="86">
        <v>6</v>
      </c>
      <c r="M19" s="51">
        <v>-34</v>
      </c>
    </row>
    <row r="20" spans="3:13" ht="15.75">
      <c r="C20" s="94">
        <v>15</v>
      </c>
      <c r="D20" s="100" t="s">
        <v>198</v>
      </c>
      <c r="E20" s="101">
        <v>16</v>
      </c>
      <c r="F20" s="102">
        <v>3</v>
      </c>
      <c r="G20" s="94"/>
      <c r="H20" s="100">
        <v>13</v>
      </c>
      <c r="I20" s="103">
        <v>41</v>
      </c>
      <c r="J20" s="104">
        <v>87</v>
      </c>
      <c r="K20" s="86">
        <v>6</v>
      </c>
      <c r="M20" s="51">
        <v>-46</v>
      </c>
    </row>
    <row r="21" spans="3:13" ht="15.75">
      <c r="C21" s="94">
        <v>16</v>
      </c>
      <c r="D21" s="100" t="s">
        <v>24</v>
      </c>
      <c r="E21" s="101">
        <v>16</v>
      </c>
      <c r="F21" s="102">
        <v>1</v>
      </c>
      <c r="G21" s="94"/>
      <c r="H21" s="100">
        <v>15</v>
      </c>
      <c r="I21" s="103">
        <v>29</v>
      </c>
      <c r="J21" s="104">
        <v>99</v>
      </c>
      <c r="K21" s="86">
        <v>2</v>
      </c>
      <c r="M21" s="51">
        <v>-70</v>
      </c>
    </row>
    <row r="22" spans="3:13" ht="15.75">
      <c r="C22" s="94">
        <v>17</v>
      </c>
      <c r="D22" s="100" t="s">
        <v>249</v>
      </c>
      <c r="E22" s="101">
        <v>16</v>
      </c>
      <c r="F22" s="102">
        <v>1</v>
      </c>
      <c r="G22" s="94"/>
      <c r="H22" s="100">
        <v>15</v>
      </c>
      <c r="I22" s="103">
        <v>28</v>
      </c>
      <c r="J22" s="104">
        <v>100</v>
      </c>
      <c r="K22" s="86">
        <v>2</v>
      </c>
      <c r="M22" s="51">
        <v>-72</v>
      </c>
    </row>
  </sheetData>
  <mergeCells count="2">
    <mergeCell ref="I5:J5"/>
    <mergeCell ref="D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3"/>
  <sheetViews>
    <sheetView zoomScale="90" zoomScaleNormal="90" workbookViewId="0" topLeftCell="A23">
      <selection activeCell="J53" sqref="J53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6" width="9.125" style="1" customWidth="1"/>
    <col min="7" max="7" width="12.00390625" style="1" customWidth="1"/>
    <col min="8" max="8" width="10.375" style="1" bestFit="1" customWidth="1"/>
    <col min="9" max="10" width="9.125" style="1" customWidth="1"/>
    <col min="11" max="11" width="11.375" style="1" customWidth="1"/>
    <col min="12" max="12" width="18.2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00390625" style="1" customWidth="1"/>
    <col min="18" max="18" width="15.75390625" style="0" bestFit="1" customWidth="1"/>
  </cols>
  <sheetData>
    <row r="1" spans="3:19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M1" s="185" t="s">
        <v>33</v>
      </c>
      <c r="N1" s="185"/>
      <c r="Q1" s="2"/>
      <c r="R1" s="2"/>
      <c r="S1" s="2"/>
    </row>
    <row r="2" spans="2:16" ht="34.5" customHeight="1" thickBot="1">
      <c r="B2" s="3" t="s">
        <v>29</v>
      </c>
      <c r="C2" s="9" t="s">
        <v>201</v>
      </c>
      <c r="D2" s="9" t="s">
        <v>81</v>
      </c>
      <c r="E2" s="9" t="s">
        <v>202</v>
      </c>
      <c r="F2" s="9" t="s">
        <v>203</v>
      </c>
      <c r="G2" s="9" t="s">
        <v>117</v>
      </c>
      <c r="H2" s="9" t="s">
        <v>180</v>
      </c>
      <c r="I2" s="9" t="s">
        <v>230</v>
      </c>
      <c r="J2" s="9"/>
      <c r="K2" s="9"/>
      <c r="L2" s="12" t="s">
        <v>35</v>
      </c>
      <c r="M2" s="12" t="s">
        <v>198</v>
      </c>
      <c r="N2" s="12" t="s">
        <v>34</v>
      </c>
      <c r="O2" s="12" t="s">
        <v>36</v>
      </c>
      <c r="P2" s="11" t="s">
        <v>134</v>
      </c>
    </row>
    <row r="3" spans="1:16" s="25" customFormat="1" ht="15.75">
      <c r="A3" s="20" t="s">
        <v>0</v>
      </c>
      <c r="B3" s="20" t="s">
        <v>27</v>
      </c>
      <c r="C3" s="47">
        <v>368</v>
      </c>
      <c r="D3" s="73">
        <v>426</v>
      </c>
      <c r="E3" s="47">
        <v>385</v>
      </c>
      <c r="F3" s="47">
        <v>394</v>
      </c>
      <c r="G3" s="47">
        <v>356</v>
      </c>
      <c r="H3" s="73">
        <v>432</v>
      </c>
      <c r="I3" s="47"/>
      <c r="J3" s="47"/>
      <c r="K3" s="39"/>
      <c r="L3" s="23">
        <f aca="true" t="shared" si="0" ref="L3:L19">SUM(C3:K3)</f>
        <v>2361</v>
      </c>
      <c r="M3" s="20">
        <v>2</v>
      </c>
      <c r="N3" s="20">
        <v>6</v>
      </c>
      <c r="O3" s="20">
        <f>2361-2494</f>
        <v>-133</v>
      </c>
      <c r="P3" s="20">
        <v>0</v>
      </c>
    </row>
    <row r="4" spans="1:16" s="34" customFormat="1" ht="15.75">
      <c r="A4" s="29" t="s">
        <v>1</v>
      </c>
      <c r="B4" s="29" t="s">
        <v>32</v>
      </c>
      <c r="C4" s="48">
        <v>374</v>
      </c>
      <c r="D4" s="74">
        <v>409</v>
      </c>
      <c r="E4" s="74">
        <v>414</v>
      </c>
      <c r="F4" s="48">
        <v>396</v>
      </c>
      <c r="G4" s="48"/>
      <c r="H4" s="74">
        <v>440</v>
      </c>
      <c r="I4" s="48">
        <v>374</v>
      </c>
      <c r="J4" s="48"/>
      <c r="K4" s="44"/>
      <c r="L4" s="32">
        <f t="shared" si="0"/>
        <v>2407</v>
      </c>
      <c r="M4" s="29">
        <v>5</v>
      </c>
      <c r="N4" s="29">
        <v>3</v>
      </c>
      <c r="O4" s="29">
        <v>35</v>
      </c>
      <c r="P4" s="29">
        <v>2</v>
      </c>
    </row>
    <row r="5" spans="1:16" s="25" customFormat="1" ht="15.75">
      <c r="A5" s="20" t="s">
        <v>2</v>
      </c>
      <c r="B5" s="20" t="s">
        <v>28</v>
      </c>
      <c r="C5" s="47"/>
      <c r="D5" s="73">
        <v>404</v>
      </c>
      <c r="E5" s="47">
        <v>368</v>
      </c>
      <c r="F5" s="47">
        <v>384</v>
      </c>
      <c r="G5" s="47">
        <v>348</v>
      </c>
      <c r="H5" s="73">
        <v>432</v>
      </c>
      <c r="I5" s="47">
        <v>379</v>
      </c>
      <c r="J5" s="47"/>
      <c r="K5" s="39"/>
      <c r="L5" s="23">
        <f t="shared" si="0"/>
        <v>2315</v>
      </c>
      <c r="M5" s="20">
        <v>2</v>
      </c>
      <c r="N5" s="20">
        <v>6</v>
      </c>
      <c r="O5" s="20">
        <v>-170</v>
      </c>
      <c r="P5" s="20">
        <v>0</v>
      </c>
    </row>
    <row r="6" spans="1:16" s="25" customFormat="1" ht="15.75">
      <c r="A6" s="20" t="s">
        <v>3</v>
      </c>
      <c r="B6" s="84" t="s">
        <v>16</v>
      </c>
      <c r="C6" s="73">
        <v>412</v>
      </c>
      <c r="D6" s="73">
        <v>416</v>
      </c>
      <c r="E6" s="47">
        <v>359</v>
      </c>
      <c r="F6" s="47">
        <v>397</v>
      </c>
      <c r="G6" s="47"/>
      <c r="H6" s="73">
        <v>406</v>
      </c>
      <c r="I6" s="47">
        <v>384</v>
      </c>
      <c r="J6" s="47"/>
      <c r="K6" s="39"/>
      <c r="L6" s="23">
        <f t="shared" si="0"/>
        <v>2374</v>
      </c>
      <c r="M6" s="20">
        <v>3</v>
      </c>
      <c r="N6" s="20">
        <v>5</v>
      </c>
      <c r="O6" s="23">
        <f>L6-2397</f>
        <v>-23</v>
      </c>
      <c r="P6" s="20">
        <v>0</v>
      </c>
    </row>
    <row r="7" spans="1:16" s="34" customFormat="1" ht="15.75">
      <c r="A7" s="29" t="s">
        <v>4</v>
      </c>
      <c r="B7" s="29" t="s">
        <v>18</v>
      </c>
      <c r="C7" s="105">
        <v>403</v>
      </c>
      <c r="D7" s="52">
        <v>390</v>
      </c>
      <c r="E7" s="48"/>
      <c r="F7" s="48">
        <v>362</v>
      </c>
      <c r="G7" s="52">
        <v>360</v>
      </c>
      <c r="H7" s="105">
        <v>418</v>
      </c>
      <c r="I7" s="52">
        <v>339</v>
      </c>
      <c r="J7" s="52"/>
      <c r="K7" s="44"/>
      <c r="L7" s="32">
        <f t="shared" si="0"/>
        <v>2272</v>
      </c>
      <c r="M7" s="29">
        <v>2</v>
      </c>
      <c r="N7" s="29">
        <v>6</v>
      </c>
      <c r="O7" s="32">
        <f>L7-2413</f>
        <v>-141</v>
      </c>
      <c r="P7" s="29">
        <v>0</v>
      </c>
    </row>
    <row r="8" spans="1:16" s="25" customFormat="1" ht="15.75">
      <c r="A8" s="20" t="s">
        <v>5</v>
      </c>
      <c r="B8" s="20" t="s">
        <v>26</v>
      </c>
      <c r="C8" s="47">
        <v>353</v>
      </c>
      <c r="D8" s="73">
        <v>415</v>
      </c>
      <c r="E8" s="47">
        <v>408</v>
      </c>
      <c r="F8" s="73">
        <v>414</v>
      </c>
      <c r="G8" s="47">
        <v>404</v>
      </c>
      <c r="H8" s="47">
        <v>406</v>
      </c>
      <c r="I8" s="47"/>
      <c r="J8" s="47"/>
      <c r="K8" s="39"/>
      <c r="L8" s="23">
        <f t="shared" si="0"/>
        <v>2400</v>
      </c>
      <c r="M8" s="20">
        <v>2</v>
      </c>
      <c r="N8" s="20">
        <v>6</v>
      </c>
      <c r="O8" s="20">
        <v>-113</v>
      </c>
      <c r="P8" s="20">
        <v>0</v>
      </c>
    </row>
    <row r="9" spans="1:16" s="34" customFormat="1" ht="15.75">
      <c r="A9" s="29" t="s">
        <v>6</v>
      </c>
      <c r="B9" s="29" t="s">
        <v>20</v>
      </c>
      <c r="C9" s="48"/>
      <c r="D9" s="48">
        <v>395</v>
      </c>
      <c r="E9" s="48">
        <v>356</v>
      </c>
      <c r="F9" s="48">
        <v>404</v>
      </c>
      <c r="G9" s="74">
        <v>416</v>
      </c>
      <c r="H9" s="48">
        <v>405</v>
      </c>
      <c r="I9" s="48">
        <v>379</v>
      </c>
      <c r="J9" s="48"/>
      <c r="K9" s="44"/>
      <c r="L9" s="32">
        <f t="shared" si="0"/>
        <v>2355</v>
      </c>
      <c r="M9" s="29">
        <v>1</v>
      </c>
      <c r="N9" s="29">
        <v>7</v>
      </c>
      <c r="O9" s="32">
        <f>L9-2518</f>
        <v>-163</v>
      </c>
      <c r="P9" s="29">
        <v>0</v>
      </c>
    </row>
    <row r="10" spans="1:16" s="25" customFormat="1" ht="15.75">
      <c r="A10" s="20" t="s">
        <v>7</v>
      </c>
      <c r="B10" s="37" t="s">
        <v>22</v>
      </c>
      <c r="C10" s="73">
        <v>425</v>
      </c>
      <c r="D10" s="73">
        <v>399</v>
      </c>
      <c r="E10" s="47"/>
      <c r="F10" s="47">
        <v>364</v>
      </c>
      <c r="G10" s="47">
        <v>378</v>
      </c>
      <c r="H10" s="47">
        <v>377</v>
      </c>
      <c r="I10" s="47">
        <v>378</v>
      </c>
      <c r="J10" s="47"/>
      <c r="K10" s="39"/>
      <c r="L10" s="23">
        <f t="shared" si="0"/>
        <v>2321</v>
      </c>
      <c r="M10" s="20">
        <v>2</v>
      </c>
      <c r="N10" s="20">
        <v>6</v>
      </c>
      <c r="O10" s="20">
        <v>-150</v>
      </c>
      <c r="P10" s="20">
        <v>0</v>
      </c>
    </row>
    <row r="11" spans="1:16" s="34" customFormat="1" ht="15.75">
      <c r="A11" s="29" t="s">
        <v>8</v>
      </c>
      <c r="B11" s="29" t="s">
        <v>30</v>
      </c>
      <c r="C11" s="48">
        <v>355</v>
      </c>
      <c r="D11" s="48">
        <v>382</v>
      </c>
      <c r="E11" s="48">
        <v>397</v>
      </c>
      <c r="F11" s="74">
        <v>429</v>
      </c>
      <c r="G11" s="48">
        <v>383</v>
      </c>
      <c r="H11" s="48">
        <v>407</v>
      </c>
      <c r="I11" s="48"/>
      <c r="J11" s="48"/>
      <c r="K11" s="44"/>
      <c r="L11" s="32">
        <f t="shared" si="0"/>
        <v>2353</v>
      </c>
      <c r="M11" s="29">
        <v>1</v>
      </c>
      <c r="N11" s="29">
        <v>7</v>
      </c>
      <c r="O11" s="32">
        <v>-193</v>
      </c>
      <c r="P11" s="29">
        <v>0</v>
      </c>
    </row>
    <row r="12" spans="1:16" s="25" customFormat="1" ht="15.75">
      <c r="A12" s="20" t="s">
        <v>9</v>
      </c>
      <c r="B12" s="20" t="s">
        <v>19</v>
      </c>
      <c r="C12" s="47">
        <v>365</v>
      </c>
      <c r="D12" s="47">
        <v>376</v>
      </c>
      <c r="E12" s="73">
        <v>396</v>
      </c>
      <c r="F12" s="73">
        <v>421</v>
      </c>
      <c r="G12" s="47">
        <v>351</v>
      </c>
      <c r="H12" s="73">
        <v>401</v>
      </c>
      <c r="I12" s="47"/>
      <c r="J12" s="47"/>
      <c r="K12" s="39"/>
      <c r="L12" s="23">
        <f t="shared" si="0"/>
        <v>2310</v>
      </c>
      <c r="M12" s="20">
        <v>3</v>
      </c>
      <c r="N12" s="20">
        <v>5</v>
      </c>
      <c r="O12" s="23">
        <v>-36</v>
      </c>
      <c r="P12" s="20">
        <v>0</v>
      </c>
    </row>
    <row r="13" spans="1:16" s="34" customFormat="1" ht="15.75">
      <c r="A13" s="29" t="s">
        <v>10</v>
      </c>
      <c r="B13" s="29" t="s">
        <v>24</v>
      </c>
      <c r="C13" s="48">
        <v>366</v>
      </c>
      <c r="D13" s="74">
        <v>413</v>
      </c>
      <c r="E13" s="48">
        <v>378</v>
      </c>
      <c r="F13" s="74">
        <v>421</v>
      </c>
      <c r="G13" s="48">
        <v>371</v>
      </c>
      <c r="H13" s="74">
        <v>410</v>
      </c>
      <c r="I13" s="48"/>
      <c r="J13" s="48"/>
      <c r="K13" s="44"/>
      <c r="L13" s="32">
        <f t="shared" si="0"/>
        <v>2359</v>
      </c>
      <c r="M13" s="29">
        <v>5</v>
      </c>
      <c r="N13" s="29">
        <v>3</v>
      </c>
      <c r="O13" s="29">
        <v>76</v>
      </c>
      <c r="P13" s="29">
        <v>2</v>
      </c>
    </row>
    <row r="14" spans="1:16" s="25" customFormat="1" ht="15.75">
      <c r="A14" s="20" t="s">
        <v>11</v>
      </c>
      <c r="B14" s="20" t="s">
        <v>199</v>
      </c>
      <c r="C14" s="73">
        <v>429</v>
      </c>
      <c r="D14" s="73">
        <v>421</v>
      </c>
      <c r="E14" s="47">
        <v>366</v>
      </c>
      <c r="F14" s="73">
        <v>407</v>
      </c>
      <c r="G14" s="47">
        <v>401</v>
      </c>
      <c r="H14" s="73">
        <v>422</v>
      </c>
      <c r="I14" s="47"/>
      <c r="J14" s="47"/>
      <c r="K14" s="39"/>
      <c r="L14" s="23">
        <f t="shared" si="0"/>
        <v>2446</v>
      </c>
      <c r="M14" s="20">
        <v>6</v>
      </c>
      <c r="N14" s="20">
        <v>2</v>
      </c>
      <c r="O14" s="20">
        <v>104</v>
      </c>
      <c r="P14" s="20">
        <v>2</v>
      </c>
    </row>
    <row r="15" spans="1:16" s="34" customFormat="1" ht="15.75">
      <c r="A15" s="29" t="s">
        <v>12</v>
      </c>
      <c r="B15" s="29" t="s">
        <v>23</v>
      </c>
      <c r="C15" s="48"/>
      <c r="D15" s="48"/>
      <c r="E15" s="48"/>
      <c r="F15" s="48"/>
      <c r="G15" s="48"/>
      <c r="H15" s="48"/>
      <c r="I15" s="48"/>
      <c r="J15" s="48"/>
      <c r="K15" s="44"/>
      <c r="L15" s="32">
        <f t="shared" si="0"/>
        <v>0</v>
      </c>
      <c r="M15" s="29"/>
      <c r="N15" s="29"/>
      <c r="O15" s="32"/>
      <c r="P15" s="29"/>
    </row>
    <row r="16" spans="1:16" s="25" customFormat="1" ht="15.75">
      <c r="A16" s="20" t="s">
        <v>13</v>
      </c>
      <c r="B16" s="20" t="s">
        <v>21</v>
      </c>
      <c r="C16" s="47">
        <v>388</v>
      </c>
      <c r="D16" s="73">
        <v>407</v>
      </c>
      <c r="E16" s="73">
        <v>404</v>
      </c>
      <c r="F16" s="73">
        <v>422</v>
      </c>
      <c r="G16" s="47">
        <v>358</v>
      </c>
      <c r="H16" s="47">
        <v>398</v>
      </c>
      <c r="I16" s="47"/>
      <c r="J16" s="47"/>
      <c r="K16" s="39"/>
      <c r="L16" s="23">
        <f>SUM(C16:I16)</f>
        <v>2377</v>
      </c>
      <c r="M16" s="20">
        <v>3</v>
      </c>
      <c r="N16" s="20">
        <v>5</v>
      </c>
      <c r="O16" s="23">
        <f>L16-2428</f>
        <v>-51</v>
      </c>
      <c r="P16" s="20">
        <v>0</v>
      </c>
    </row>
    <row r="17" spans="1:16" s="34" customFormat="1" ht="15.75">
      <c r="A17" s="29" t="s">
        <v>14</v>
      </c>
      <c r="B17" s="29" t="s">
        <v>25</v>
      </c>
      <c r="C17" s="48">
        <v>331</v>
      </c>
      <c r="D17" s="48">
        <v>397</v>
      </c>
      <c r="E17" s="48">
        <v>394</v>
      </c>
      <c r="F17" s="48">
        <v>388</v>
      </c>
      <c r="G17" s="48">
        <v>382</v>
      </c>
      <c r="H17" s="74">
        <v>403</v>
      </c>
      <c r="I17" s="48"/>
      <c r="J17" s="48"/>
      <c r="K17" s="44"/>
      <c r="L17" s="32">
        <f>SUM(C17:I17)</f>
        <v>2295</v>
      </c>
      <c r="M17" s="29">
        <v>1</v>
      </c>
      <c r="N17" s="29">
        <v>7</v>
      </c>
      <c r="O17" s="32">
        <v>-155</v>
      </c>
      <c r="P17" s="29">
        <v>0</v>
      </c>
    </row>
    <row r="18" spans="1:16" s="25" customFormat="1" ht="15.75">
      <c r="A18" s="20" t="s">
        <v>234</v>
      </c>
      <c r="B18" s="20" t="s">
        <v>17</v>
      </c>
      <c r="C18" s="47">
        <v>411</v>
      </c>
      <c r="D18" s="47">
        <v>412</v>
      </c>
      <c r="E18" s="47">
        <v>395</v>
      </c>
      <c r="F18" s="47">
        <v>380</v>
      </c>
      <c r="G18" s="73">
        <v>424</v>
      </c>
      <c r="H18" s="73">
        <v>421</v>
      </c>
      <c r="I18" s="47"/>
      <c r="J18" s="47"/>
      <c r="K18" s="39"/>
      <c r="L18" s="23">
        <f t="shared" si="0"/>
        <v>2443</v>
      </c>
      <c r="M18" s="20">
        <v>2</v>
      </c>
      <c r="N18" s="20">
        <v>6</v>
      </c>
      <c r="O18" s="23">
        <v>-114</v>
      </c>
      <c r="P18" s="20">
        <v>0</v>
      </c>
    </row>
    <row r="19" spans="1:16" s="34" customFormat="1" ht="16.5" thickBot="1">
      <c r="A19" s="29" t="s">
        <v>235</v>
      </c>
      <c r="B19" s="29" t="s">
        <v>15</v>
      </c>
      <c r="C19" s="50">
        <v>397</v>
      </c>
      <c r="D19" s="50">
        <v>398</v>
      </c>
      <c r="E19" s="50">
        <v>381</v>
      </c>
      <c r="F19" s="135">
        <v>447</v>
      </c>
      <c r="G19" s="50">
        <v>393</v>
      </c>
      <c r="H19" s="50">
        <v>420</v>
      </c>
      <c r="I19" s="50"/>
      <c r="J19" s="50"/>
      <c r="K19" s="41"/>
      <c r="L19" s="42">
        <f t="shared" si="0"/>
        <v>2436</v>
      </c>
      <c r="M19" s="43">
        <v>1</v>
      </c>
      <c r="N19" s="43">
        <v>7</v>
      </c>
      <c r="O19" s="46">
        <v>-205</v>
      </c>
      <c r="P19" s="43">
        <v>0</v>
      </c>
    </row>
    <row r="20" spans="3:11" ht="16.5" thickTop="1">
      <c r="C20" s="6">
        <f aca="true" t="shared" si="1" ref="C20:K20">SUM(C3:C19)</f>
        <v>5377</v>
      </c>
      <c r="D20" s="6">
        <f t="shared" si="1"/>
        <v>6460</v>
      </c>
      <c r="E20" s="6">
        <f t="shared" si="1"/>
        <v>5401</v>
      </c>
      <c r="F20" s="6">
        <f t="shared" si="1"/>
        <v>6430</v>
      </c>
      <c r="G20" s="6">
        <f t="shared" si="1"/>
        <v>5325</v>
      </c>
      <c r="H20" s="6">
        <f t="shared" si="1"/>
        <v>6598</v>
      </c>
      <c r="I20" s="6">
        <f t="shared" si="1"/>
        <v>2233</v>
      </c>
      <c r="J20" s="6">
        <f t="shared" si="1"/>
        <v>0</v>
      </c>
      <c r="K20" s="6">
        <f t="shared" si="1"/>
        <v>0</v>
      </c>
    </row>
    <row r="21" spans="2:18" ht="35.25" customHeight="1">
      <c r="B21" s="12" t="s">
        <v>152</v>
      </c>
      <c r="C21" s="17">
        <f aca="true" t="shared" si="2" ref="C21:I21">AVERAGE(C3:C19)</f>
        <v>384.07142857142856</v>
      </c>
      <c r="D21" s="17">
        <f t="shared" si="2"/>
        <v>403.75</v>
      </c>
      <c r="E21" s="17">
        <f t="shared" si="2"/>
        <v>385.7857142857143</v>
      </c>
      <c r="F21" s="17">
        <f t="shared" si="2"/>
        <v>401.875</v>
      </c>
      <c r="G21" s="17">
        <f t="shared" si="2"/>
        <v>380.35714285714283</v>
      </c>
      <c r="H21" s="17">
        <f t="shared" si="2"/>
        <v>412.375</v>
      </c>
      <c r="I21" s="17">
        <f t="shared" si="2"/>
        <v>372.1666666666667</v>
      </c>
      <c r="J21" s="17"/>
      <c r="K21" s="17"/>
      <c r="L21" s="3" t="s">
        <v>35</v>
      </c>
      <c r="M21" s="185" t="s">
        <v>135</v>
      </c>
      <c r="N21" s="185"/>
      <c r="O21" s="3" t="s">
        <v>36</v>
      </c>
      <c r="P21" s="11" t="s">
        <v>136</v>
      </c>
      <c r="R21" s="14" t="s">
        <v>150</v>
      </c>
    </row>
    <row r="22" spans="12:18" ht="15.75">
      <c r="L22" s="6">
        <f>SUM(L3:L19)</f>
        <v>37824</v>
      </c>
      <c r="M22" s="1">
        <f>SUM(M3:M19)</f>
        <v>41</v>
      </c>
      <c r="N22" s="1">
        <f>SUM(N3:N19)</f>
        <v>87</v>
      </c>
      <c r="O22" s="1">
        <f>SUM(O3:O19)</f>
        <v>-1432</v>
      </c>
      <c r="P22" s="1">
        <f>SUM(P3:P19)</f>
        <v>6</v>
      </c>
      <c r="R22" s="2">
        <f>M22-N22</f>
        <v>-46</v>
      </c>
    </row>
    <row r="24" spans="3:13" ht="15.75">
      <c r="C24" s="190" t="s">
        <v>48</v>
      </c>
      <c r="D24" s="190"/>
      <c r="L24" s="1" t="s">
        <v>153</v>
      </c>
      <c r="M24" s="19">
        <f>SUM(L3:L19)/16</f>
        <v>2364</v>
      </c>
    </row>
    <row r="25" spans="3:4" ht="15.75">
      <c r="C25" s="188" t="s">
        <v>157</v>
      </c>
      <c r="D25" s="188"/>
    </row>
    <row r="26" spans="3:12" ht="15.75">
      <c r="C26" s="189" t="s">
        <v>158</v>
      </c>
      <c r="D26" s="189"/>
      <c r="I26" s="184" t="s">
        <v>183</v>
      </c>
      <c r="J26" s="184"/>
      <c r="K26" s="12" t="s">
        <v>184</v>
      </c>
      <c r="L26" s="14" t="s">
        <v>150</v>
      </c>
    </row>
    <row r="27" spans="9:12" ht="15.75">
      <c r="I27" s="1">
        <f>M22+M48</f>
        <v>73</v>
      </c>
      <c r="J27" s="1">
        <f>N22+N48</f>
        <v>183</v>
      </c>
      <c r="K27" s="1">
        <f>P22+P48</f>
        <v>10</v>
      </c>
      <c r="L27" s="1">
        <f>I27-J27</f>
        <v>-110</v>
      </c>
    </row>
    <row r="28" spans="1:6" ht="15.75">
      <c r="A28" s="128" t="s">
        <v>169</v>
      </c>
      <c r="B28" s="129"/>
      <c r="C28" s="129" t="s">
        <v>200</v>
      </c>
      <c r="D28" s="129" t="s">
        <v>174</v>
      </c>
      <c r="E28" s="186" t="s">
        <v>168</v>
      </c>
      <c r="F28" s="186"/>
    </row>
    <row r="29" ht="15.75">
      <c r="F29" s="57"/>
    </row>
    <row r="30" spans="2:16" ht="34.5" customHeight="1" thickBot="1">
      <c r="B30" s="3" t="s">
        <v>29</v>
      </c>
      <c r="C30" s="9" t="s">
        <v>201</v>
      </c>
      <c r="D30" s="9" t="s">
        <v>81</v>
      </c>
      <c r="E30" s="9" t="s">
        <v>202</v>
      </c>
      <c r="F30" s="9" t="s">
        <v>203</v>
      </c>
      <c r="G30" s="9" t="s">
        <v>117</v>
      </c>
      <c r="H30" s="9" t="s">
        <v>180</v>
      </c>
      <c r="I30" s="9" t="s">
        <v>230</v>
      </c>
      <c r="J30" s="9"/>
      <c r="K30" s="9"/>
      <c r="L30" s="12" t="s">
        <v>35</v>
      </c>
      <c r="M30" s="12" t="s">
        <v>198</v>
      </c>
      <c r="N30" s="12" t="s">
        <v>34</v>
      </c>
      <c r="O30" s="12" t="s">
        <v>36</v>
      </c>
      <c r="P30" s="11" t="s">
        <v>134</v>
      </c>
    </row>
    <row r="31" spans="1:16" s="34" customFormat="1" ht="15.75">
      <c r="A31" s="29" t="s">
        <v>185</v>
      </c>
      <c r="B31" s="29" t="s">
        <v>27</v>
      </c>
      <c r="C31" s="35">
        <v>386</v>
      </c>
      <c r="D31" s="87">
        <v>422</v>
      </c>
      <c r="E31" s="35">
        <v>374</v>
      </c>
      <c r="F31" s="35">
        <v>389</v>
      </c>
      <c r="G31" s="35">
        <v>398</v>
      </c>
      <c r="H31" s="35">
        <v>392</v>
      </c>
      <c r="I31" s="35"/>
      <c r="J31" s="35"/>
      <c r="K31" s="35"/>
      <c r="L31" s="29">
        <f aca="true" t="shared" si="3" ref="L31:L46">SUM(C31:K31)</f>
        <v>2361</v>
      </c>
      <c r="M31" s="29">
        <v>1</v>
      </c>
      <c r="N31" s="29">
        <v>7</v>
      </c>
      <c r="O31" s="29">
        <v>-237</v>
      </c>
      <c r="P31" s="29">
        <v>0</v>
      </c>
    </row>
    <row r="32" spans="1:16" s="25" customFormat="1" ht="15.75">
      <c r="A32" s="20" t="s">
        <v>186</v>
      </c>
      <c r="B32" s="20" t="s">
        <v>32</v>
      </c>
      <c r="C32" s="79">
        <v>411</v>
      </c>
      <c r="D32" s="37">
        <v>404</v>
      </c>
      <c r="E32" s="37">
        <v>400</v>
      </c>
      <c r="F32" s="37">
        <v>366</v>
      </c>
      <c r="G32" s="37">
        <v>386</v>
      </c>
      <c r="H32" s="79">
        <v>409</v>
      </c>
      <c r="I32" s="37"/>
      <c r="J32" s="37"/>
      <c r="K32" s="37"/>
      <c r="L32" s="20">
        <f t="shared" si="3"/>
        <v>2376</v>
      </c>
      <c r="M32" s="20">
        <v>2</v>
      </c>
      <c r="N32" s="20">
        <v>6</v>
      </c>
      <c r="O32" s="20">
        <v>-97</v>
      </c>
      <c r="P32" s="20">
        <v>0</v>
      </c>
    </row>
    <row r="33" spans="1:16" s="34" customFormat="1" ht="15.75">
      <c r="A33" s="29" t="s">
        <v>187</v>
      </c>
      <c r="B33" s="29" t="s">
        <v>28</v>
      </c>
      <c r="C33" s="35">
        <v>347</v>
      </c>
      <c r="D33" s="35">
        <v>392</v>
      </c>
      <c r="E33" s="35">
        <v>378</v>
      </c>
      <c r="F33" s="35">
        <v>386</v>
      </c>
      <c r="G33" s="35">
        <v>406</v>
      </c>
      <c r="H33" s="87">
        <v>412</v>
      </c>
      <c r="I33" s="35"/>
      <c r="J33" s="35"/>
      <c r="K33" s="35"/>
      <c r="L33" s="29">
        <f t="shared" si="3"/>
        <v>2321</v>
      </c>
      <c r="M33" s="29">
        <v>1</v>
      </c>
      <c r="N33" s="29">
        <v>7</v>
      </c>
      <c r="O33" s="29">
        <f>L33-2589</f>
        <v>-268</v>
      </c>
      <c r="P33" s="29">
        <v>0</v>
      </c>
    </row>
    <row r="34" spans="1:16" s="34" customFormat="1" ht="15.75">
      <c r="A34" s="29" t="s">
        <v>188</v>
      </c>
      <c r="B34" s="127" t="s">
        <v>16</v>
      </c>
      <c r="C34" s="35">
        <v>401</v>
      </c>
      <c r="D34" s="87">
        <v>441</v>
      </c>
      <c r="E34" s="35">
        <v>352</v>
      </c>
      <c r="F34" s="35">
        <v>381</v>
      </c>
      <c r="G34" s="35">
        <v>403</v>
      </c>
      <c r="H34" s="35">
        <v>375</v>
      </c>
      <c r="I34" s="35"/>
      <c r="J34" s="35"/>
      <c r="K34" s="35"/>
      <c r="L34" s="29">
        <f t="shared" si="3"/>
        <v>2353</v>
      </c>
      <c r="M34" s="29">
        <v>1</v>
      </c>
      <c r="N34" s="29">
        <v>7</v>
      </c>
      <c r="O34" s="29">
        <v>-282</v>
      </c>
      <c r="P34" s="29">
        <v>0</v>
      </c>
    </row>
    <row r="35" spans="1:16" s="25" customFormat="1" ht="15.75">
      <c r="A35" s="20" t="s">
        <v>189</v>
      </c>
      <c r="B35" s="20" t="s">
        <v>18</v>
      </c>
      <c r="C35" s="79">
        <v>452</v>
      </c>
      <c r="D35" s="37">
        <v>366</v>
      </c>
      <c r="E35" s="37">
        <v>398</v>
      </c>
      <c r="F35" s="37">
        <v>383</v>
      </c>
      <c r="G35" s="37">
        <v>381</v>
      </c>
      <c r="H35" s="37">
        <v>414</v>
      </c>
      <c r="I35" s="37"/>
      <c r="J35" s="37"/>
      <c r="K35" s="37"/>
      <c r="L35" s="20">
        <f t="shared" si="3"/>
        <v>2394</v>
      </c>
      <c r="M35" s="20">
        <v>1</v>
      </c>
      <c r="N35" s="20">
        <v>7</v>
      </c>
      <c r="O35" s="20">
        <v>-191</v>
      </c>
      <c r="P35" s="20">
        <v>0</v>
      </c>
    </row>
    <row r="36" spans="1:16" s="34" customFormat="1" ht="15.75">
      <c r="A36" s="29" t="s">
        <v>190</v>
      </c>
      <c r="B36" s="29" t="s">
        <v>26</v>
      </c>
      <c r="C36" s="35">
        <v>356</v>
      </c>
      <c r="D36" s="87">
        <v>402</v>
      </c>
      <c r="E36" s="35">
        <v>372</v>
      </c>
      <c r="F36" s="35">
        <v>390</v>
      </c>
      <c r="G36" s="87">
        <v>428</v>
      </c>
      <c r="H36" s="35">
        <v>378</v>
      </c>
      <c r="I36" s="35"/>
      <c r="J36" s="35"/>
      <c r="K36" s="35"/>
      <c r="L36" s="29">
        <f t="shared" si="3"/>
        <v>2326</v>
      </c>
      <c r="M36" s="29">
        <v>2</v>
      </c>
      <c r="N36" s="29">
        <v>6</v>
      </c>
      <c r="O36" s="29">
        <f>L36-2430</f>
        <v>-104</v>
      </c>
      <c r="P36" s="29">
        <v>0</v>
      </c>
    </row>
    <row r="37" spans="1:16" s="25" customFormat="1" ht="15.75">
      <c r="A37" s="20" t="s">
        <v>191</v>
      </c>
      <c r="B37" s="20" t="s">
        <v>20</v>
      </c>
      <c r="C37" s="37">
        <v>363</v>
      </c>
      <c r="D37" s="79">
        <v>414</v>
      </c>
      <c r="E37" s="37">
        <v>373</v>
      </c>
      <c r="F37" s="37">
        <v>384</v>
      </c>
      <c r="G37" s="79">
        <v>434</v>
      </c>
      <c r="H37" s="37">
        <v>372</v>
      </c>
      <c r="I37" s="37"/>
      <c r="J37" s="37"/>
      <c r="K37" s="37"/>
      <c r="L37" s="20">
        <f t="shared" si="3"/>
        <v>2340</v>
      </c>
      <c r="M37" s="20">
        <v>2</v>
      </c>
      <c r="N37" s="20">
        <v>6</v>
      </c>
      <c r="O37" s="20">
        <v>-178</v>
      </c>
      <c r="P37" s="20">
        <v>0</v>
      </c>
    </row>
    <row r="38" spans="1:16" s="34" customFormat="1" ht="15.75">
      <c r="A38" s="29" t="s">
        <v>192</v>
      </c>
      <c r="B38" s="35" t="s">
        <v>22</v>
      </c>
      <c r="C38" s="35">
        <v>387</v>
      </c>
      <c r="D38" s="35">
        <v>400</v>
      </c>
      <c r="E38" s="35">
        <v>380</v>
      </c>
      <c r="F38" s="87">
        <v>445</v>
      </c>
      <c r="G38" s="35">
        <v>382</v>
      </c>
      <c r="H38" s="35">
        <v>404</v>
      </c>
      <c r="I38" s="35"/>
      <c r="J38" s="35"/>
      <c r="K38" s="35"/>
      <c r="L38" s="29">
        <f t="shared" si="3"/>
        <v>2398</v>
      </c>
      <c r="M38" s="29">
        <v>1</v>
      </c>
      <c r="N38" s="29">
        <v>7</v>
      </c>
      <c r="O38" s="29">
        <f>L38-2557</f>
        <v>-159</v>
      </c>
      <c r="P38" s="29">
        <v>0</v>
      </c>
    </row>
    <row r="39" spans="1:16" s="25" customFormat="1" ht="15.75">
      <c r="A39" s="20" t="s">
        <v>193</v>
      </c>
      <c r="B39" s="20" t="s">
        <v>30</v>
      </c>
      <c r="C39" s="37">
        <v>381</v>
      </c>
      <c r="D39" s="37">
        <v>406</v>
      </c>
      <c r="E39" s="79">
        <v>424</v>
      </c>
      <c r="F39" s="79">
        <v>442</v>
      </c>
      <c r="G39" s="37">
        <v>409</v>
      </c>
      <c r="H39" s="37">
        <v>386</v>
      </c>
      <c r="I39" s="37"/>
      <c r="J39" s="37"/>
      <c r="K39" s="37"/>
      <c r="L39" s="20">
        <f t="shared" si="3"/>
        <v>2448</v>
      </c>
      <c r="M39" s="20">
        <v>2</v>
      </c>
      <c r="N39" s="20">
        <v>6</v>
      </c>
      <c r="O39" s="20">
        <v>-66</v>
      </c>
      <c r="P39" s="20">
        <v>0</v>
      </c>
    </row>
    <row r="40" spans="1:16" s="34" customFormat="1" ht="15.75">
      <c r="A40" s="29" t="s">
        <v>194</v>
      </c>
      <c r="B40" s="29" t="s">
        <v>19</v>
      </c>
      <c r="C40" s="35">
        <v>393</v>
      </c>
      <c r="D40" s="35">
        <v>405</v>
      </c>
      <c r="E40" s="35">
        <v>404</v>
      </c>
      <c r="F40" s="87">
        <v>419</v>
      </c>
      <c r="G40" s="87">
        <v>416</v>
      </c>
      <c r="H40" s="87">
        <v>412</v>
      </c>
      <c r="I40" s="35"/>
      <c r="J40" s="35"/>
      <c r="K40" s="35"/>
      <c r="L40" s="29">
        <f t="shared" si="3"/>
        <v>2449</v>
      </c>
      <c r="M40" s="29">
        <v>5</v>
      </c>
      <c r="N40" s="29">
        <v>3</v>
      </c>
      <c r="O40" s="29">
        <v>18</v>
      </c>
      <c r="P40" s="29">
        <v>2</v>
      </c>
    </row>
    <row r="41" spans="1:16" s="25" customFormat="1" ht="15.75">
      <c r="A41" s="20" t="s">
        <v>195</v>
      </c>
      <c r="B41" s="20" t="s">
        <v>24</v>
      </c>
      <c r="C41" s="20">
        <v>377</v>
      </c>
      <c r="D41" s="20">
        <v>371</v>
      </c>
      <c r="E41" s="20">
        <v>351</v>
      </c>
      <c r="F41" s="79">
        <v>422</v>
      </c>
      <c r="G41" s="20">
        <v>403</v>
      </c>
      <c r="H41" s="79">
        <v>422</v>
      </c>
      <c r="I41" s="20"/>
      <c r="J41" s="20"/>
      <c r="K41" s="20"/>
      <c r="L41" s="20">
        <f t="shared" si="3"/>
        <v>2346</v>
      </c>
      <c r="M41" s="20">
        <v>2</v>
      </c>
      <c r="N41" s="20">
        <v>6</v>
      </c>
      <c r="O41" s="20">
        <v>-81</v>
      </c>
      <c r="P41" s="20">
        <v>0</v>
      </c>
    </row>
    <row r="42" spans="1:16" s="34" customFormat="1" ht="15.75">
      <c r="A42" s="29" t="s">
        <v>196</v>
      </c>
      <c r="B42" s="29" t="s">
        <v>199</v>
      </c>
      <c r="C42" s="29">
        <v>384</v>
      </c>
      <c r="D42" s="29">
        <v>383</v>
      </c>
      <c r="E42" s="29">
        <v>368</v>
      </c>
      <c r="F42" s="87">
        <v>406</v>
      </c>
      <c r="G42" s="29">
        <v>390</v>
      </c>
      <c r="H42" s="87">
        <v>413</v>
      </c>
      <c r="I42" s="29"/>
      <c r="J42" s="29"/>
      <c r="K42" s="29"/>
      <c r="L42" s="29">
        <f t="shared" si="3"/>
        <v>2344</v>
      </c>
      <c r="M42" s="29">
        <v>2</v>
      </c>
      <c r="N42" s="29">
        <v>6</v>
      </c>
      <c r="O42" s="29">
        <v>-79</v>
      </c>
      <c r="P42" s="29">
        <v>0</v>
      </c>
    </row>
    <row r="43" spans="1:16" s="64" customFormat="1" ht="15.75">
      <c r="A43" s="63" t="s">
        <v>197</v>
      </c>
      <c r="B43" s="63" t="s">
        <v>23</v>
      </c>
      <c r="C43" s="63"/>
      <c r="D43" s="63"/>
      <c r="E43" s="63"/>
      <c r="F43" s="63"/>
      <c r="G43" s="63"/>
      <c r="H43" s="63"/>
      <c r="I43" s="63"/>
      <c r="J43" s="63"/>
      <c r="K43" s="63"/>
      <c r="L43" s="63">
        <f t="shared" si="3"/>
        <v>0</v>
      </c>
      <c r="M43" s="63"/>
      <c r="N43" s="63"/>
      <c r="O43" s="63"/>
      <c r="P43" s="63"/>
    </row>
    <row r="44" spans="1:16" s="34" customFormat="1" ht="15.75">
      <c r="A44" s="29" t="s">
        <v>242</v>
      </c>
      <c r="B44" s="29" t="s">
        <v>21</v>
      </c>
      <c r="C44" s="29">
        <v>348</v>
      </c>
      <c r="D44" s="87">
        <v>435</v>
      </c>
      <c r="E44" s="29">
        <v>400</v>
      </c>
      <c r="F44" s="35">
        <v>408</v>
      </c>
      <c r="G44" s="87">
        <v>409</v>
      </c>
      <c r="H44" s="29">
        <v>395</v>
      </c>
      <c r="I44" s="29"/>
      <c r="J44" s="29"/>
      <c r="K44" s="29"/>
      <c r="L44" s="29">
        <f t="shared" si="3"/>
        <v>2395</v>
      </c>
      <c r="M44" s="29">
        <v>2</v>
      </c>
      <c r="N44" s="29">
        <v>6</v>
      </c>
      <c r="O44" s="29">
        <f>L44-2439</f>
        <v>-44</v>
      </c>
      <c r="P44" s="29">
        <v>0</v>
      </c>
    </row>
    <row r="45" spans="1:16" s="25" customFormat="1" ht="15.75">
      <c r="A45" s="20" t="s">
        <v>243</v>
      </c>
      <c r="B45" s="20" t="s">
        <v>25</v>
      </c>
      <c r="C45" s="79">
        <v>433</v>
      </c>
      <c r="D45" s="20">
        <v>416</v>
      </c>
      <c r="E45" s="20">
        <v>384</v>
      </c>
      <c r="F45" s="79">
        <v>419</v>
      </c>
      <c r="G45" s="20">
        <v>397</v>
      </c>
      <c r="H45" s="79">
        <v>418</v>
      </c>
      <c r="I45" s="20"/>
      <c r="J45" s="20"/>
      <c r="K45" s="20"/>
      <c r="L45" s="20">
        <f t="shared" si="3"/>
        <v>2467</v>
      </c>
      <c r="M45" s="20">
        <v>5</v>
      </c>
      <c r="N45" s="20">
        <v>3</v>
      </c>
      <c r="O45" s="20">
        <v>18</v>
      </c>
      <c r="P45" s="20">
        <v>2</v>
      </c>
    </row>
    <row r="46" spans="1:16" s="34" customFormat="1" ht="15.75">
      <c r="A46" s="29" t="s">
        <v>244</v>
      </c>
      <c r="B46" s="29" t="s">
        <v>17</v>
      </c>
      <c r="C46" s="29">
        <v>395</v>
      </c>
      <c r="D46" s="87">
        <v>432</v>
      </c>
      <c r="E46" s="29">
        <v>410</v>
      </c>
      <c r="F46" s="29">
        <v>408</v>
      </c>
      <c r="G46" s="29">
        <v>374</v>
      </c>
      <c r="H46" s="87">
        <v>444</v>
      </c>
      <c r="I46" s="29"/>
      <c r="J46" s="29"/>
      <c r="K46" s="29"/>
      <c r="L46" s="29">
        <f t="shared" si="3"/>
        <v>2463</v>
      </c>
      <c r="M46" s="29">
        <v>2</v>
      </c>
      <c r="N46" s="29">
        <v>6</v>
      </c>
      <c r="O46" s="29">
        <v>-177</v>
      </c>
      <c r="P46" s="29">
        <v>0</v>
      </c>
    </row>
    <row r="47" spans="1:16" s="25" customFormat="1" ht="16.5" thickBot="1">
      <c r="A47" s="20" t="s">
        <v>245</v>
      </c>
      <c r="B47" s="20" t="s">
        <v>15</v>
      </c>
      <c r="C47" s="20">
        <v>379</v>
      </c>
      <c r="D47" s="79">
        <v>435</v>
      </c>
      <c r="E47" s="20">
        <v>385</v>
      </c>
      <c r="F47" s="20">
        <v>396</v>
      </c>
      <c r="G47" s="20">
        <v>404</v>
      </c>
      <c r="H47" s="20">
        <v>405</v>
      </c>
      <c r="I47" s="20"/>
      <c r="J47" s="20"/>
      <c r="K47" s="20"/>
      <c r="L47" s="20">
        <f>SUM(C47:K47)</f>
        <v>2404</v>
      </c>
      <c r="M47" s="28">
        <v>1</v>
      </c>
      <c r="N47" s="28">
        <v>7</v>
      </c>
      <c r="O47" s="28">
        <v>-323</v>
      </c>
      <c r="P47" s="28">
        <v>0</v>
      </c>
    </row>
    <row r="48" spans="3:16" ht="16.5" thickTop="1">
      <c r="C48" s="169">
        <f aca="true" t="shared" si="4" ref="C48:H48">SUM(C31:C47)</f>
        <v>6193</v>
      </c>
      <c r="D48" s="169">
        <f t="shared" si="4"/>
        <v>6524</v>
      </c>
      <c r="E48" s="169">
        <f t="shared" si="4"/>
        <v>6153</v>
      </c>
      <c r="F48" s="169">
        <f t="shared" si="4"/>
        <v>6444</v>
      </c>
      <c r="G48" s="169">
        <f t="shared" si="4"/>
        <v>6420</v>
      </c>
      <c r="H48" s="169">
        <f t="shared" si="4"/>
        <v>6451</v>
      </c>
      <c r="M48" s="1">
        <f>SUM(M31:M47)</f>
        <v>32</v>
      </c>
      <c r="N48" s="1">
        <f>SUM(N31:N47)</f>
        <v>96</v>
      </c>
      <c r="O48" s="1">
        <f>SUM(O31:O47)</f>
        <v>-2250</v>
      </c>
      <c r="P48" s="1">
        <f>SUM(P31:P47)</f>
        <v>4</v>
      </c>
    </row>
    <row r="50" spans="2:18" ht="31.5">
      <c r="B50" s="12" t="s">
        <v>152</v>
      </c>
      <c r="C50" s="17">
        <f aca="true" t="shared" si="5" ref="C50:H50">AVERAGE(C31:C47)</f>
        <v>387.0625</v>
      </c>
      <c r="D50" s="17">
        <f t="shared" si="5"/>
        <v>407.75</v>
      </c>
      <c r="E50" s="17">
        <f t="shared" si="5"/>
        <v>384.5625</v>
      </c>
      <c r="F50" s="17">
        <f t="shared" si="5"/>
        <v>402.75</v>
      </c>
      <c r="G50" s="17">
        <f t="shared" si="5"/>
        <v>401.25</v>
      </c>
      <c r="H50" s="17">
        <f t="shared" si="5"/>
        <v>403.1875</v>
      </c>
      <c r="L50" s="3" t="s">
        <v>35</v>
      </c>
      <c r="M50" s="185" t="s">
        <v>135</v>
      </c>
      <c r="N50" s="185"/>
      <c r="O50" s="3" t="s">
        <v>36</v>
      </c>
      <c r="P50" s="11" t="s">
        <v>136</v>
      </c>
      <c r="R50" s="14" t="s">
        <v>150</v>
      </c>
    </row>
    <row r="51" spans="12:18" ht="15.75">
      <c r="L51" s="6">
        <f>SUM(L31:L47)</f>
        <v>38185</v>
      </c>
      <c r="M51" s="6">
        <f>SUM(M31:M47)</f>
        <v>32</v>
      </c>
      <c r="N51" s="6">
        <f>SUM(N31:N47)</f>
        <v>96</v>
      </c>
      <c r="O51" s="6">
        <f>SUM(O31:O47)</f>
        <v>-2250</v>
      </c>
      <c r="P51" s="6">
        <f>SUM(P31:P47)</f>
        <v>4</v>
      </c>
      <c r="R51" s="125">
        <f>M51-N51</f>
        <v>-64</v>
      </c>
    </row>
    <row r="53" spans="12:13" ht="15.75">
      <c r="L53" s="1" t="s">
        <v>153</v>
      </c>
      <c r="M53" s="19">
        <f>SUM(L31:L47)/16</f>
        <v>2386.5625</v>
      </c>
    </row>
  </sheetData>
  <mergeCells count="9">
    <mergeCell ref="M50:N50"/>
    <mergeCell ref="E28:F28"/>
    <mergeCell ref="M1:N1"/>
    <mergeCell ref="C24:D24"/>
    <mergeCell ref="M21:N21"/>
    <mergeCell ref="I26:J26"/>
    <mergeCell ref="C25:D25"/>
    <mergeCell ref="C26:D26"/>
    <mergeCell ref="C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M22"/>
  <sheetViews>
    <sheetView workbookViewId="0" topLeftCell="C1">
      <selection activeCell="D4" sqref="D4"/>
    </sheetView>
  </sheetViews>
  <sheetFormatPr defaultColWidth="9.00390625" defaultRowHeight="12.75"/>
  <cols>
    <col min="3" max="3" width="7.625" style="0" customWidth="1"/>
    <col min="4" max="4" width="12.625" style="0" bestFit="1" customWidth="1"/>
    <col min="5" max="5" width="9.875" style="0" customWidth="1"/>
    <col min="6" max="6" width="7.375" style="0" customWidth="1"/>
    <col min="7" max="7" width="5.75390625" style="0" customWidth="1"/>
    <col min="8" max="8" width="6.125" style="0" customWidth="1"/>
    <col min="9" max="10" width="7.25390625" style="0" bestFit="1" customWidth="1"/>
    <col min="11" max="11" width="10.375" style="0" bestFit="1" customWidth="1"/>
    <col min="12" max="12" width="6.875" style="0" customWidth="1"/>
    <col min="13" max="13" width="15.875" style="0" bestFit="1" customWidth="1"/>
  </cols>
  <sheetData>
    <row r="3" spans="4:12" ht="15.75">
      <c r="D3" s="184" t="s">
        <v>256</v>
      </c>
      <c r="E3" s="184"/>
      <c r="F3" s="184"/>
      <c r="G3" s="184"/>
      <c r="H3" s="184"/>
      <c r="I3" s="184"/>
      <c r="J3" s="184"/>
      <c r="K3" s="184"/>
      <c r="L3" s="184"/>
    </row>
    <row r="5" spans="3:13" ht="15.75">
      <c r="C5" s="88"/>
      <c r="D5" s="202" t="s">
        <v>225</v>
      </c>
      <c r="E5" s="200" t="s">
        <v>220</v>
      </c>
      <c r="F5" s="176" t="s">
        <v>221</v>
      </c>
      <c r="G5" s="201" t="s">
        <v>222</v>
      </c>
      <c r="H5" s="202" t="s">
        <v>223</v>
      </c>
      <c r="I5" s="203" t="s">
        <v>224</v>
      </c>
      <c r="J5" s="204"/>
      <c r="K5" s="176" t="s">
        <v>219</v>
      </c>
      <c r="L5" s="177"/>
      <c r="M5" s="198" t="s">
        <v>150</v>
      </c>
    </row>
    <row r="6" spans="3:13" ht="15.75">
      <c r="C6" s="94">
        <v>1</v>
      </c>
      <c r="D6" s="100" t="s">
        <v>25</v>
      </c>
      <c r="E6" s="101">
        <v>16</v>
      </c>
      <c r="F6" s="102">
        <v>13</v>
      </c>
      <c r="G6" s="94">
        <v>1</v>
      </c>
      <c r="H6" s="100">
        <v>2</v>
      </c>
      <c r="I6" s="197">
        <f>'Szedd Le'!N52</f>
        <v>78</v>
      </c>
      <c r="J6" s="196">
        <f>'Szedd Le'!O52</f>
        <v>50</v>
      </c>
      <c r="K6" s="194">
        <f>'Szedd Le'!Q52</f>
        <v>27</v>
      </c>
      <c r="L6" s="177"/>
      <c r="M6" s="57">
        <f>'Szedd Le'!S52</f>
        <v>28</v>
      </c>
    </row>
    <row r="7" spans="3:13" ht="15.75">
      <c r="C7" s="94">
        <v>2</v>
      </c>
      <c r="D7" s="100" t="s">
        <v>15</v>
      </c>
      <c r="E7" s="101">
        <v>16</v>
      </c>
      <c r="F7" s="102">
        <v>13</v>
      </c>
      <c r="G7" s="94"/>
      <c r="H7" s="100">
        <v>3</v>
      </c>
      <c r="I7" s="197">
        <f>Tápé!O51</f>
        <v>84</v>
      </c>
      <c r="J7" s="196">
        <f>Tápé!P51</f>
        <v>44</v>
      </c>
      <c r="K7" s="194">
        <f>Tápé!R51</f>
        <v>26</v>
      </c>
      <c r="L7" s="177"/>
      <c r="M7" s="57">
        <f>Tápé!T51</f>
        <v>40</v>
      </c>
    </row>
    <row r="8" spans="3:13" ht="15.75">
      <c r="C8" s="94">
        <v>3</v>
      </c>
      <c r="D8" s="100" t="s">
        <v>30</v>
      </c>
      <c r="E8" s="101">
        <v>16</v>
      </c>
      <c r="F8" s="102">
        <v>12</v>
      </c>
      <c r="G8" s="94">
        <v>1</v>
      </c>
      <c r="H8" s="100">
        <v>3</v>
      </c>
      <c r="I8" s="197">
        <f>Kinizsi!N51</f>
        <v>83</v>
      </c>
      <c r="J8" s="196">
        <f>Kinizsi!O51</f>
        <v>45</v>
      </c>
      <c r="K8" s="194">
        <f>Kinizsi!Q51</f>
        <v>25</v>
      </c>
      <c r="L8" s="177"/>
      <c r="M8" s="57">
        <f>Kinizsi!S51</f>
        <v>38</v>
      </c>
    </row>
    <row r="9" spans="3:13" ht="15.75">
      <c r="C9" s="94">
        <v>4</v>
      </c>
      <c r="D9" s="100" t="s">
        <v>27</v>
      </c>
      <c r="E9" s="101">
        <v>16</v>
      </c>
      <c r="F9" s="102">
        <v>12</v>
      </c>
      <c r="G9" s="94"/>
      <c r="H9" s="100">
        <v>4</v>
      </c>
      <c r="I9" s="197">
        <f>Amazonok!N51</f>
        <v>81</v>
      </c>
      <c r="J9" s="196">
        <f>Amazonok!O51</f>
        <v>47</v>
      </c>
      <c r="K9" s="194">
        <f>Amazonok!Q51</f>
        <v>24</v>
      </c>
      <c r="L9" s="177"/>
      <c r="M9" s="57">
        <f>Amazonok!S51</f>
        <v>34</v>
      </c>
    </row>
    <row r="10" spans="3:13" ht="15.75">
      <c r="C10" s="94">
        <v>5</v>
      </c>
      <c r="D10" s="100" t="s">
        <v>26</v>
      </c>
      <c r="E10" s="101">
        <v>16</v>
      </c>
      <c r="F10" s="102">
        <v>12</v>
      </c>
      <c r="G10" s="94"/>
      <c r="H10" s="100">
        <v>4</v>
      </c>
      <c r="I10" s="197">
        <f>Santé!N51</f>
        <v>79</v>
      </c>
      <c r="J10" s="196">
        <f>Santé!O51</f>
        <v>49</v>
      </c>
      <c r="K10" s="194">
        <f>Santé!Q51</f>
        <v>24</v>
      </c>
      <c r="L10" s="177"/>
      <c r="M10" s="57">
        <f>Santé!S51</f>
        <v>30</v>
      </c>
    </row>
    <row r="11" spans="3:13" ht="15.75">
      <c r="C11" s="94">
        <v>6</v>
      </c>
      <c r="D11" s="100" t="s">
        <v>16</v>
      </c>
      <c r="E11" s="101">
        <v>16</v>
      </c>
      <c r="F11" s="102">
        <v>11</v>
      </c>
      <c r="G11" s="94"/>
      <c r="H11" s="100">
        <v>5</v>
      </c>
      <c r="I11" s="197">
        <f>Kalmár!N51</f>
        <v>81</v>
      </c>
      <c r="J11" s="196">
        <f>Kalmár!O51</f>
        <v>47</v>
      </c>
      <c r="K11" s="194">
        <f>Kalmár!Q51</f>
        <v>22</v>
      </c>
      <c r="L11" s="177"/>
      <c r="M11" s="57">
        <f>Kalmár!S51</f>
        <v>34</v>
      </c>
    </row>
    <row r="12" spans="3:13" ht="15.75">
      <c r="C12" s="94">
        <v>7</v>
      </c>
      <c r="D12" s="100" t="s">
        <v>18</v>
      </c>
      <c r="E12" s="101">
        <v>16</v>
      </c>
      <c r="F12" s="102">
        <v>10</v>
      </c>
      <c r="G12" s="94"/>
      <c r="H12" s="100">
        <v>6</v>
      </c>
      <c r="I12" s="197">
        <f>Phoenix!N51</f>
        <v>71</v>
      </c>
      <c r="J12" s="196">
        <f>Phoenix!O51</f>
        <v>57</v>
      </c>
      <c r="K12" s="194">
        <f>Phoenix!Q51</f>
        <v>20</v>
      </c>
      <c r="L12" s="177"/>
      <c r="M12" s="57">
        <f>Phoenix!S51</f>
        <v>14</v>
      </c>
    </row>
    <row r="13" spans="3:13" ht="15.75">
      <c r="C13" s="94">
        <v>8</v>
      </c>
      <c r="D13" s="100" t="s">
        <v>22</v>
      </c>
      <c r="E13" s="101">
        <v>16</v>
      </c>
      <c r="F13" s="102">
        <v>7</v>
      </c>
      <c r="G13" s="94">
        <v>2</v>
      </c>
      <c r="H13" s="100">
        <v>7</v>
      </c>
      <c r="I13" s="197">
        <f>'Dél Akku'!N51</f>
        <v>68</v>
      </c>
      <c r="J13" s="196">
        <f>'Dél Akku'!O51</f>
        <v>60</v>
      </c>
      <c r="K13" s="194">
        <f>'Dél Akku'!Q51</f>
        <v>16</v>
      </c>
      <c r="L13" s="177"/>
      <c r="M13" s="57">
        <f>'Dél Akku'!S51</f>
        <v>8</v>
      </c>
    </row>
    <row r="14" spans="3:13" ht="15.75">
      <c r="C14" s="94">
        <v>9</v>
      </c>
      <c r="D14" s="100" t="s">
        <v>21</v>
      </c>
      <c r="E14" s="101">
        <v>16</v>
      </c>
      <c r="F14" s="102">
        <v>8</v>
      </c>
      <c r="G14" s="94"/>
      <c r="H14" s="100">
        <v>8</v>
      </c>
      <c r="I14" s="197">
        <f>Szefo!N51</f>
        <v>64</v>
      </c>
      <c r="J14" s="196">
        <f>Szefo!O51</f>
        <v>64</v>
      </c>
      <c r="K14" s="194">
        <f>Szefo!Q51</f>
        <v>16</v>
      </c>
      <c r="L14" s="177"/>
      <c r="M14" s="57">
        <f>Szefo!S51</f>
        <v>0</v>
      </c>
    </row>
    <row r="15" spans="3:13" ht="15.75">
      <c r="C15" s="94">
        <v>10</v>
      </c>
      <c r="D15" s="100" t="s">
        <v>20</v>
      </c>
      <c r="E15" s="101">
        <v>16</v>
      </c>
      <c r="F15" s="102">
        <v>7</v>
      </c>
      <c r="G15" s="94">
        <v>1</v>
      </c>
      <c r="H15" s="100">
        <v>8</v>
      </c>
      <c r="I15" s="197">
        <f>'Anro ker'!O51</f>
        <v>68</v>
      </c>
      <c r="J15" s="196">
        <f>'Anro ker'!P51</f>
        <v>60</v>
      </c>
      <c r="K15" s="194">
        <f>'Anro ker'!R51</f>
        <v>15</v>
      </c>
      <c r="L15" s="177"/>
      <c r="M15" s="57">
        <f>'Anro ker'!T51</f>
        <v>8</v>
      </c>
    </row>
    <row r="16" spans="3:13" ht="15.75">
      <c r="C16" s="94">
        <v>11</v>
      </c>
      <c r="D16" s="100" t="s">
        <v>17</v>
      </c>
      <c r="E16" s="101">
        <v>16</v>
      </c>
      <c r="F16" s="102">
        <v>7</v>
      </c>
      <c r="G16" s="94">
        <v>1</v>
      </c>
      <c r="H16" s="100">
        <v>8</v>
      </c>
      <c r="I16" s="197">
        <f>Privát!N51</f>
        <v>66</v>
      </c>
      <c r="J16" s="196">
        <f>Privát!O51</f>
        <v>62</v>
      </c>
      <c r="K16" s="194">
        <f>Privát!Q51</f>
        <v>15</v>
      </c>
      <c r="L16" s="177"/>
      <c r="M16" s="57">
        <f>Privát!S51</f>
        <v>4</v>
      </c>
    </row>
    <row r="17" spans="3:13" ht="15.75">
      <c r="C17" s="94">
        <v>12</v>
      </c>
      <c r="D17" s="100" t="s">
        <v>28</v>
      </c>
      <c r="E17" s="101">
        <v>16</v>
      </c>
      <c r="F17" s="102">
        <v>7</v>
      </c>
      <c r="G17" s="94">
        <v>1</v>
      </c>
      <c r="H17" s="100">
        <v>8</v>
      </c>
      <c r="I17" s="197">
        <f>Bolgár!O51</f>
        <v>60</v>
      </c>
      <c r="J17" s="196">
        <f>Bolgár!P51</f>
        <v>68</v>
      </c>
      <c r="K17" s="194">
        <f>Bolgár!R51</f>
        <v>15</v>
      </c>
      <c r="L17" s="177"/>
      <c r="M17" s="57">
        <f>Bolgár!T51</f>
        <v>-8</v>
      </c>
    </row>
    <row r="18" spans="3:13" ht="15.75">
      <c r="C18" s="94">
        <v>13</v>
      </c>
      <c r="D18" s="100" t="s">
        <v>32</v>
      </c>
      <c r="E18" s="101">
        <v>16</v>
      </c>
      <c r="F18" s="102">
        <v>5</v>
      </c>
      <c r="G18" s="94">
        <v>2</v>
      </c>
      <c r="H18" s="100">
        <v>9</v>
      </c>
      <c r="I18" s="195">
        <f>Pörc!M51</f>
        <v>57</v>
      </c>
      <c r="J18" s="196">
        <f>Pörc!N51</f>
        <v>71</v>
      </c>
      <c r="K18" s="194">
        <f>Pörc!P51</f>
        <v>12</v>
      </c>
      <c r="L18" s="177"/>
      <c r="M18" s="57">
        <f>Pörc!R51</f>
        <v>-14</v>
      </c>
    </row>
    <row r="19" spans="3:13" ht="15.75">
      <c r="C19" s="94">
        <v>14</v>
      </c>
      <c r="D19" s="100" t="s">
        <v>249</v>
      </c>
      <c r="E19" s="101">
        <v>16</v>
      </c>
      <c r="F19" s="102">
        <v>2</v>
      </c>
      <c r="G19" s="94">
        <v>1</v>
      </c>
      <c r="H19" s="100">
        <v>13</v>
      </c>
      <c r="I19" s="195">
        <f>Démász!P51</f>
        <v>37</v>
      </c>
      <c r="J19" s="196">
        <f>Démász!Q51</f>
        <v>91</v>
      </c>
      <c r="K19" s="194">
        <f>Démász!S51</f>
        <v>5</v>
      </c>
      <c r="L19" s="177"/>
      <c r="M19" s="57">
        <f>Démász!U51</f>
        <v>-54</v>
      </c>
    </row>
    <row r="20" spans="3:13" ht="15.75">
      <c r="C20" s="94">
        <v>15</v>
      </c>
      <c r="D20" s="100" t="s">
        <v>24</v>
      </c>
      <c r="E20" s="101">
        <v>16</v>
      </c>
      <c r="F20" s="102">
        <v>2</v>
      </c>
      <c r="G20" s="94"/>
      <c r="H20" s="100">
        <v>14</v>
      </c>
      <c r="I20" s="195">
        <f>Postás!P51</f>
        <v>40</v>
      </c>
      <c r="J20" s="196">
        <f>Postás!Q51</f>
        <v>88</v>
      </c>
      <c r="K20" s="194">
        <f>Postás!S51</f>
        <v>4</v>
      </c>
      <c r="L20" s="177"/>
      <c r="M20" s="57">
        <f>Postás!U51</f>
        <v>-48</v>
      </c>
    </row>
    <row r="21" spans="3:13" ht="15.75">
      <c r="C21" s="94">
        <v>16</v>
      </c>
      <c r="D21" s="100" t="s">
        <v>198</v>
      </c>
      <c r="E21" s="101">
        <v>16</v>
      </c>
      <c r="F21" s="102">
        <v>2</v>
      </c>
      <c r="G21" s="94"/>
      <c r="H21" s="100">
        <v>14</v>
      </c>
      <c r="I21" s="195">
        <f>Novum!M51</f>
        <v>32</v>
      </c>
      <c r="J21" s="196">
        <f>Novum!N51</f>
        <v>96</v>
      </c>
      <c r="K21" s="194">
        <f>Novum!P51</f>
        <v>4</v>
      </c>
      <c r="L21" s="177"/>
      <c r="M21" s="199">
        <f>Novum!R51</f>
        <v>-64</v>
      </c>
    </row>
    <row r="22" spans="3:13" ht="15.75">
      <c r="C22" s="94">
        <v>17</v>
      </c>
      <c r="D22" s="100" t="s">
        <v>19</v>
      </c>
      <c r="E22" s="101">
        <v>16</v>
      </c>
      <c r="F22" s="102">
        <v>1</v>
      </c>
      <c r="G22" s="94"/>
      <c r="H22" s="100">
        <v>15</v>
      </c>
      <c r="I22" s="195">
        <f>Guriga!L51</f>
        <v>39</v>
      </c>
      <c r="J22" s="196">
        <f>Guriga!M51</f>
        <v>89</v>
      </c>
      <c r="K22" s="194">
        <f>Guriga!O51</f>
        <v>2</v>
      </c>
      <c r="M22" s="51">
        <f>Guriga!Q51</f>
        <v>-50</v>
      </c>
    </row>
  </sheetData>
  <mergeCells count="2">
    <mergeCell ref="I5:J5"/>
    <mergeCell ref="D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28">
      <selection activeCell="Q51" sqref="Q51"/>
    </sheetView>
  </sheetViews>
  <sheetFormatPr defaultColWidth="9.00390625" defaultRowHeight="12.75"/>
  <cols>
    <col min="1" max="1" width="12.125" style="1" customWidth="1"/>
    <col min="2" max="2" width="10.375" style="1" bestFit="1" customWidth="1"/>
    <col min="3" max="3" width="9.125" style="1" customWidth="1"/>
    <col min="4" max="4" width="9.75390625" style="1" customWidth="1"/>
    <col min="5" max="10" width="9.125" style="1" customWidth="1"/>
    <col min="11" max="11" width="11.2539062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18" width="9.125" style="2" customWidth="1"/>
    <col min="19" max="19" width="15.00390625" style="2" bestFit="1" customWidth="1"/>
    <col min="20" max="20" width="9.125" style="2" customWidth="1"/>
  </cols>
  <sheetData>
    <row r="1" spans="3:15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</row>
    <row r="2" spans="2:17" ht="32.25" thickBot="1">
      <c r="B2" s="3" t="s">
        <v>29</v>
      </c>
      <c r="C2" s="9" t="s">
        <v>49</v>
      </c>
      <c r="D2" s="9" t="s">
        <v>50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130</v>
      </c>
      <c r="J2" s="9" t="s">
        <v>156</v>
      </c>
      <c r="K2" s="9" t="s">
        <v>149</v>
      </c>
      <c r="L2" s="9"/>
      <c r="M2" s="3" t="s">
        <v>35</v>
      </c>
      <c r="N2" s="3" t="s">
        <v>30</v>
      </c>
      <c r="O2" s="3" t="s">
        <v>34</v>
      </c>
      <c r="P2" s="3" t="s">
        <v>36</v>
      </c>
      <c r="Q2" s="11" t="s">
        <v>134</v>
      </c>
    </row>
    <row r="3" spans="1:20" s="25" customFormat="1" ht="15.75">
      <c r="A3" s="63" t="s">
        <v>0</v>
      </c>
      <c r="B3" s="63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71">
        <f>SUM(C3:L3)</f>
        <v>0</v>
      </c>
      <c r="N3" s="20"/>
      <c r="O3" s="20"/>
      <c r="P3" s="20"/>
      <c r="Q3" s="20"/>
      <c r="R3" s="24"/>
      <c r="S3" s="24"/>
      <c r="T3" s="24"/>
    </row>
    <row r="4" spans="1:20" s="34" customFormat="1" ht="15.75">
      <c r="A4" s="29" t="s">
        <v>1</v>
      </c>
      <c r="B4" s="29" t="s">
        <v>21</v>
      </c>
      <c r="C4" s="30"/>
      <c r="D4" s="30">
        <v>401</v>
      </c>
      <c r="E4" s="106">
        <v>428</v>
      </c>
      <c r="F4" s="106">
        <v>424</v>
      </c>
      <c r="G4" s="106">
        <v>483</v>
      </c>
      <c r="H4" s="30"/>
      <c r="I4" s="106">
        <v>427</v>
      </c>
      <c r="J4" s="30">
        <v>410</v>
      </c>
      <c r="K4" s="30"/>
      <c r="L4" s="31"/>
      <c r="M4" s="32">
        <f aca="true" t="shared" si="0" ref="M4:M19">SUM(C4:L4)</f>
        <v>2573</v>
      </c>
      <c r="N4" s="29">
        <v>6</v>
      </c>
      <c r="O4" s="29">
        <v>2</v>
      </c>
      <c r="P4" s="32">
        <v>89</v>
      </c>
      <c r="Q4" s="29">
        <v>2</v>
      </c>
      <c r="R4" s="33"/>
      <c r="S4" s="33"/>
      <c r="T4" s="33"/>
    </row>
    <row r="5" spans="1:20" s="25" customFormat="1" ht="15.75">
      <c r="A5" s="20" t="s">
        <v>2</v>
      </c>
      <c r="B5" s="20" t="s">
        <v>25</v>
      </c>
      <c r="C5" s="37"/>
      <c r="D5" s="21"/>
      <c r="E5" s="108">
        <v>427</v>
      </c>
      <c r="F5" s="21">
        <v>395</v>
      </c>
      <c r="G5" s="108">
        <v>428</v>
      </c>
      <c r="H5" s="21"/>
      <c r="I5" s="108">
        <v>466</v>
      </c>
      <c r="J5" s="108">
        <v>431</v>
      </c>
      <c r="K5" s="21">
        <v>422</v>
      </c>
      <c r="L5" s="22"/>
      <c r="M5" s="23">
        <f t="shared" si="0"/>
        <v>2569</v>
      </c>
      <c r="N5" s="20">
        <v>6</v>
      </c>
      <c r="O5" s="20">
        <v>2</v>
      </c>
      <c r="P5" s="20">
        <v>81</v>
      </c>
      <c r="Q5" s="20">
        <v>2</v>
      </c>
      <c r="R5" s="24"/>
      <c r="S5" s="24"/>
      <c r="T5" s="24"/>
    </row>
    <row r="6" spans="1:20" s="34" customFormat="1" ht="15.75">
      <c r="A6" s="29" t="s">
        <v>3</v>
      </c>
      <c r="B6" s="29" t="s">
        <v>17</v>
      </c>
      <c r="C6" s="87">
        <v>439</v>
      </c>
      <c r="D6" s="30">
        <v>429</v>
      </c>
      <c r="E6" s="30">
        <v>392</v>
      </c>
      <c r="F6" s="30"/>
      <c r="G6" s="30">
        <v>416</v>
      </c>
      <c r="H6" s="30"/>
      <c r="I6" s="30">
        <v>419</v>
      </c>
      <c r="J6" s="106">
        <v>446</v>
      </c>
      <c r="K6" s="30"/>
      <c r="L6" s="31"/>
      <c r="M6" s="32">
        <f t="shared" si="0"/>
        <v>2541</v>
      </c>
      <c r="N6" s="29">
        <v>2</v>
      </c>
      <c r="O6" s="29">
        <v>6</v>
      </c>
      <c r="P6" s="32">
        <f>M6-2666</f>
        <v>-125</v>
      </c>
      <c r="Q6" s="29">
        <v>0</v>
      </c>
      <c r="R6" s="33"/>
      <c r="S6" s="33"/>
      <c r="T6" s="33"/>
    </row>
    <row r="7" spans="1:20" s="25" customFormat="1" ht="15.75">
      <c r="A7" s="20" t="s">
        <v>4</v>
      </c>
      <c r="B7" s="20" t="s">
        <v>15</v>
      </c>
      <c r="C7" s="79">
        <v>460</v>
      </c>
      <c r="D7" s="21">
        <v>429</v>
      </c>
      <c r="E7" s="21"/>
      <c r="F7" s="21"/>
      <c r="G7" s="21">
        <v>436</v>
      </c>
      <c r="H7" s="21"/>
      <c r="I7" s="21">
        <v>390</v>
      </c>
      <c r="J7" s="21">
        <v>427</v>
      </c>
      <c r="K7" s="108">
        <v>472</v>
      </c>
      <c r="L7" s="22"/>
      <c r="M7" s="23">
        <f t="shared" si="0"/>
        <v>2614</v>
      </c>
      <c r="N7" s="20">
        <v>4</v>
      </c>
      <c r="O7" s="20">
        <v>4</v>
      </c>
      <c r="P7" s="20">
        <v>12</v>
      </c>
      <c r="Q7" s="20">
        <v>1</v>
      </c>
      <c r="R7" s="24"/>
      <c r="S7" s="24"/>
      <c r="T7" s="24"/>
    </row>
    <row r="8" spans="1:20" s="34" customFormat="1" ht="15.75">
      <c r="A8" s="29" t="s">
        <v>5</v>
      </c>
      <c r="B8" s="29" t="s">
        <v>27</v>
      </c>
      <c r="C8" s="87">
        <v>478</v>
      </c>
      <c r="D8" s="30">
        <v>401</v>
      </c>
      <c r="E8" s="30">
        <v>429</v>
      </c>
      <c r="F8" s="30"/>
      <c r="G8" s="106">
        <v>447</v>
      </c>
      <c r="H8" s="30"/>
      <c r="I8" s="106">
        <v>445</v>
      </c>
      <c r="J8" s="30">
        <v>433</v>
      </c>
      <c r="K8" s="30"/>
      <c r="L8" s="31"/>
      <c r="M8" s="32">
        <f t="shared" si="0"/>
        <v>2633</v>
      </c>
      <c r="N8" s="29">
        <v>5</v>
      </c>
      <c r="O8" s="29">
        <v>3</v>
      </c>
      <c r="P8" s="32">
        <v>18</v>
      </c>
      <c r="Q8" s="29">
        <v>2</v>
      </c>
      <c r="R8" s="33"/>
      <c r="S8" s="33"/>
      <c r="T8" s="33"/>
    </row>
    <row r="9" spans="1:20" s="25" customFormat="1" ht="15.75">
      <c r="A9" s="20" t="s">
        <v>6</v>
      </c>
      <c r="B9" s="20" t="s">
        <v>32</v>
      </c>
      <c r="C9" s="37"/>
      <c r="D9" s="21">
        <v>426</v>
      </c>
      <c r="E9" s="21">
        <v>414</v>
      </c>
      <c r="F9" s="21"/>
      <c r="G9" s="108">
        <v>458</v>
      </c>
      <c r="H9" s="108">
        <v>430</v>
      </c>
      <c r="I9" s="108">
        <v>476</v>
      </c>
      <c r="J9" s="21"/>
      <c r="K9" s="21">
        <v>403</v>
      </c>
      <c r="L9" s="22"/>
      <c r="M9" s="23">
        <f t="shared" si="0"/>
        <v>2607</v>
      </c>
      <c r="N9" s="20">
        <v>5</v>
      </c>
      <c r="O9" s="20">
        <v>3</v>
      </c>
      <c r="P9" s="23">
        <f>M9-2512</f>
        <v>95</v>
      </c>
      <c r="Q9" s="20">
        <v>2</v>
      </c>
      <c r="R9" s="24"/>
      <c r="S9" s="24"/>
      <c r="T9" s="24"/>
    </row>
    <row r="10" spans="1:20" s="34" customFormat="1" ht="15.75">
      <c r="A10" s="29" t="s">
        <v>7</v>
      </c>
      <c r="B10" s="29" t="s">
        <v>28</v>
      </c>
      <c r="C10" s="87">
        <v>420</v>
      </c>
      <c r="D10" s="30"/>
      <c r="E10" s="106">
        <v>444</v>
      </c>
      <c r="F10" s="106">
        <v>427</v>
      </c>
      <c r="G10" s="30">
        <v>411</v>
      </c>
      <c r="H10" s="30"/>
      <c r="I10" s="30">
        <v>412</v>
      </c>
      <c r="J10" s="106">
        <v>435</v>
      </c>
      <c r="K10" s="30"/>
      <c r="L10" s="31"/>
      <c r="M10" s="32">
        <f t="shared" si="0"/>
        <v>2549</v>
      </c>
      <c r="N10" s="29">
        <v>6</v>
      </c>
      <c r="O10" s="29">
        <v>2</v>
      </c>
      <c r="P10" s="29">
        <v>18</v>
      </c>
      <c r="Q10" s="29">
        <v>2</v>
      </c>
      <c r="R10" s="33"/>
      <c r="S10" s="33"/>
      <c r="T10" s="33"/>
    </row>
    <row r="11" spans="1:20" s="25" customFormat="1" ht="15.75">
      <c r="A11" s="20" t="s">
        <v>8</v>
      </c>
      <c r="B11" s="20" t="s">
        <v>198</v>
      </c>
      <c r="C11" s="37"/>
      <c r="D11" s="79">
        <v>423</v>
      </c>
      <c r="E11" s="37"/>
      <c r="F11" s="79">
        <v>445</v>
      </c>
      <c r="G11" s="37"/>
      <c r="H11" s="79">
        <v>456</v>
      </c>
      <c r="I11" s="79">
        <v>413</v>
      </c>
      <c r="J11" s="79">
        <v>423</v>
      </c>
      <c r="K11" s="37">
        <v>386</v>
      </c>
      <c r="L11" s="22"/>
      <c r="M11" s="23">
        <f t="shared" si="0"/>
        <v>2546</v>
      </c>
      <c r="N11" s="20">
        <v>7</v>
      </c>
      <c r="O11" s="20">
        <v>1</v>
      </c>
      <c r="P11" s="23">
        <f>M11-2353</f>
        <v>193</v>
      </c>
      <c r="Q11" s="20">
        <v>2</v>
      </c>
      <c r="R11" s="24"/>
      <c r="S11" s="24"/>
      <c r="T11" s="24"/>
    </row>
    <row r="12" spans="1:20" s="34" customFormat="1" ht="15.75">
      <c r="A12" s="29" t="s">
        <v>9</v>
      </c>
      <c r="B12" s="30" t="s">
        <v>18</v>
      </c>
      <c r="C12" s="87">
        <v>428</v>
      </c>
      <c r="D12" s="30"/>
      <c r="E12" s="106">
        <v>436</v>
      </c>
      <c r="F12" s="106">
        <v>432</v>
      </c>
      <c r="G12" s="30">
        <v>423</v>
      </c>
      <c r="H12" s="30">
        <v>421</v>
      </c>
      <c r="I12" s="30"/>
      <c r="J12" s="106">
        <v>428</v>
      </c>
      <c r="K12" s="30"/>
      <c r="L12" s="31"/>
      <c r="M12" s="32">
        <f t="shared" si="0"/>
        <v>2568</v>
      </c>
      <c r="N12" s="29">
        <v>6</v>
      </c>
      <c r="O12" s="29">
        <v>2</v>
      </c>
      <c r="P12" s="32">
        <f>M12-2376</f>
        <v>192</v>
      </c>
      <c r="Q12" s="29">
        <v>2</v>
      </c>
      <c r="R12" s="33"/>
      <c r="S12" s="33"/>
      <c r="T12" s="33"/>
    </row>
    <row r="13" spans="1:20" s="25" customFormat="1" ht="15.75">
      <c r="A13" s="20" t="s">
        <v>10</v>
      </c>
      <c r="B13" s="20" t="s">
        <v>26</v>
      </c>
      <c r="C13" s="37">
        <v>409</v>
      </c>
      <c r="D13" s="21"/>
      <c r="E13" s="108">
        <v>470</v>
      </c>
      <c r="F13" s="21">
        <v>393</v>
      </c>
      <c r="G13" s="21">
        <v>412</v>
      </c>
      <c r="H13" s="21"/>
      <c r="I13" s="108">
        <v>447</v>
      </c>
      <c r="J13" s="108">
        <v>462</v>
      </c>
      <c r="K13" s="21"/>
      <c r="L13" s="22"/>
      <c r="M13" s="23">
        <f t="shared" si="0"/>
        <v>2593</v>
      </c>
      <c r="N13" s="20">
        <v>3</v>
      </c>
      <c r="O13" s="20">
        <v>5</v>
      </c>
      <c r="P13" s="23">
        <v>-8</v>
      </c>
      <c r="Q13" s="20">
        <v>0</v>
      </c>
      <c r="R13" s="24"/>
      <c r="S13" s="24"/>
      <c r="T13" s="24"/>
    </row>
    <row r="14" spans="1:20" s="34" customFormat="1" ht="15.75">
      <c r="A14" s="29" t="s">
        <v>11</v>
      </c>
      <c r="B14" s="29" t="s">
        <v>20</v>
      </c>
      <c r="C14" s="87">
        <v>455</v>
      </c>
      <c r="D14" s="30">
        <v>403</v>
      </c>
      <c r="E14" s="30">
        <v>405</v>
      </c>
      <c r="F14" s="30"/>
      <c r="G14" s="106">
        <v>461</v>
      </c>
      <c r="H14" s="30"/>
      <c r="I14" s="30">
        <v>407</v>
      </c>
      <c r="J14" s="106">
        <v>473</v>
      </c>
      <c r="K14" s="30"/>
      <c r="L14" s="31"/>
      <c r="M14" s="32">
        <f t="shared" si="0"/>
        <v>2604</v>
      </c>
      <c r="N14" s="29">
        <v>3</v>
      </c>
      <c r="O14" s="29">
        <v>5</v>
      </c>
      <c r="P14" s="32">
        <f>M14-2627</f>
        <v>-23</v>
      </c>
      <c r="Q14" s="29">
        <v>0</v>
      </c>
      <c r="R14" s="33"/>
      <c r="S14" s="33"/>
      <c r="T14" s="33"/>
    </row>
    <row r="15" spans="1:20" s="25" customFormat="1" ht="15.75">
      <c r="A15" s="20" t="s">
        <v>12</v>
      </c>
      <c r="B15" s="20" t="s">
        <v>22</v>
      </c>
      <c r="C15" s="37"/>
      <c r="D15" s="21">
        <v>423</v>
      </c>
      <c r="E15" s="21"/>
      <c r="F15" s="21"/>
      <c r="G15" s="108">
        <v>458</v>
      </c>
      <c r="H15" s="21">
        <v>407</v>
      </c>
      <c r="I15" s="108">
        <v>449</v>
      </c>
      <c r="J15" s="108">
        <v>468</v>
      </c>
      <c r="K15" s="21">
        <v>436</v>
      </c>
      <c r="L15" s="22"/>
      <c r="M15" s="23">
        <f t="shared" si="0"/>
        <v>2641</v>
      </c>
      <c r="N15" s="20">
        <v>3</v>
      </c>
      <c r="O15" s="20">
        <v>5</v>
      </c>
      <c r="P15" s="23">
        <f>M15-2670</f>
        <v>-29</v>
      </c>
      <c r="Q15" s="20">
        <v>0</v>
      </c>
      <c r="R15" s="24"/>
      <c r="S15" s="24"/>
      <c r="T15" s="24"/>
    </row>
    <row r="16" spans="1:20" s="25" customFormat="1" ht="15.75">
      <c r="A16" s="20" t="s">
        <v>13</v>
      </c>
      <c r="B16" s="20" t="s">
        <v>16</v>
      </c>
      <c r="C16" s="37">
        <v>410</v>
      </c>
      <c r="D16" s="21"/>
      <c r="E16" s="108">
        <v>449</v>
      </c>
      <c r="F16" s="21"/>
      <c r="G16" s="108">
        <v>465</v>
      </c>
      <c r="H16" s="21"/>
      <c r="I16" s="21">
        <v>420</v>
      </c>
      <c r="J16" s="21">
        <v>433</v>
      </c>
      <c r="K16" s="21">
        <v>417</v>
      </c>
      <c r="L16" s="22"/>
      <c r="M16" s="23">
        <f t="shared" si="0"/>
        <v>2594</v>
      </c>
      <c r="N16" s="20">
        <v>4</v>
      </c>
      <c r="O16" s="20">
        <v>4</v>
      </c>
      <c r="P16" s="23">
        <v>14</v>
      </c>
      <c r="Q16" s="20">
        <v>1</v>
      </c>
      <c r="R16" s="24"/>
      <c r="S16" s="24"/>
      <c r="T16" s="24"/>
    </row>
    <row r="17" spans="1:20" s="34" customFormat="1" ht="15.75">
      <c r="A17" s="29" t="s">
        <v>14</v>
      </c>
      <c r="B17" s="29" t="s">
        <v>19</v>
      </c>
      <c r="C17" s="106">
        <v>442</v>
      </c>
      <c r="D17" s="30">
        <v>382</v>
      </c>
      <c r="E17" s="30"/>
      <c r="F17" s="106">
        <v>419</v>
      </c>
      <c r="G17" s="106">
        <v>441</v>
      </c>
      <c r="H17" s="30"/>
      <c r="I17" s="30"/>
      <c r="J17" s="106">
        <v>433</v>
      </c>
      <c r="K17" s="106">
        <v>423</v>
      </c>
      <c r="L17" s="31"/>
      <c r="M17" s="115">
        <f t="shared" si="0"/>
        <v>2540</v>
      </c>
      <c r="N17" s="36">
        <v>7</v>
      </c>
      <c r="O17" s="36">
        <v>1</v>
      </c>
      <c r="P17" s="36">
        <v>239</v>
      </c>
      <c r="Q17" s="36">
        <v>2</v>
      </c>
      <c r="R17" s="33"/>
      <c r="S17" s="33"/>
      <c r="T17" s="33"/>
    </row>
    <row r="18" spans="1:20" s="25" customFormat="1" ht="15.75">
      <c r="A18" s="20" t="s">
        <v>234</v>
      </c>
      <c r="B18" s="20" t="s">
        <v>24</v>
      </c>
      <c r="C18" s="21">
        <v>400</v>
      </c>
      <c r="D18" s="21"/>
      <c r="E18" s="108">
        <v>422</v>
      </c>
      <c r="F18" s="21">
        <v>388</v>
      </c>
      <c r="G18" s="21"/>
      <c r="H18" s="108">
        <v>428</v>
      </c>
      <c r="I18" s="21">
        <v>397</v>
      </c>
      <c r="J18" s="108">
        <v>446</v>
      </c>
      <c r="K18" s="21"/>
      <c r="L18" s="22"/>
      <c r="M18" s="116">
        <f t="shared" si="0"/>
        <v>2481</v>
      </c>
      <c r="N18" s="38">
        <v>5</v>
      </c>
      <c r="O18" s="38">
        <v>3</v>
      </c>
      <c r="P18" s="116">
        <f>M18-2382</f>
        <v>99</v>
      </c>
      <c r="Q18" s="38">
        <v>2</v>
      </c>
      <c r="R18" s="24"/>
      <c r="S18" s="24"/>
      <c r="T18" s="24"/>
    </row>
    <row r="19" spans="1:20" s="34" customFormat="1" ht="16.5" thickBot="1">
      <c r="A19" s="29" t="s">
        <v>235</v>
      </c>
      <c r="B19" s="29" t="s">
        <v>199</v>
      </c>
      <c r="C19" s="137">
        <v>401</v>
      </c>
      <c r="D19" s="137">
        <v>411</v>
      </c>
      <c r="E19" s="137">
        <v>437</v>
      </c>
      <c r="F19" s="113"/>
      <c r="G19" s="113"/>
      <c r="H19" s="113">
        <v>394</v>
      </c>
      <c r="I19" s="137">
        <v>405</v>
      </c>
      <c r="J19" s="137">
        <v>440</v>
      </c>
      <c r="K19" s="113"/>
      <c r="L19" s="114"/>
      <c r="M19" s="42">
        <f t="shared" si="0"/>
        <v>2488</v>
      </c>
      <c r="N19" s="43">
        <v>7</v>
      </c>
      <c r="O19" s="43">
        <v>1</v>
      </c>
      <c r="P19" s="43">
        <v>205</v>
      </c>
      <c r="Q19" s="43">
        <v>2</v>
      </c>
      <c r="R19" s="33"/>
      <c r="S19" s="33"/>
      <c r="T19" s="33"/>
    </row>
    <row r="20" spans="3:12" ht="16.5" thickTop="1">
      <c r="C20" s="6">
        <f>SUM(C3:C19)</f>
        <v>4742</v>
      </c>
      <c r="D20" s="6">
        <f aca="true" t="shared" si="1" ref="D20:L20">SUM(D3:D19)</f>
        <v>4128</v>
      </c>
      <c r="E20" s="6">
        <f t="shared" si="1"/>
        <v>5153</v>
      </c>
      <c r="F20" s="6">
        <f t="shared" si="1"/>
        <v>3323</v>
      </c>
      <c r="G20" s="6">
        <f t="shared" si="1"/>
        <v>5739</v>
      </c>
      <c r="H20" s="6">
        <f t="shared" si="1"/>
        <v>2536</v>
      </c>
      <c r="I20" s="6">
        <f t="shared" si="1"/>
        <v>5973</v>
      </c>
      <c r="J20" s="6">
        <f t="shared" si="1"/>
        <v>6588</v>
      </c>
      <c r="K20" s="6">
        <f t="shared" si="1"/>
        <v>2959</v>
      </c>
      <c r="L20" s="6">
        <f t="shared" si="1"/>
        <v>0</v>
      </c>
    </row>
    <row r="21" spans="2:19" ht="33" customHeight="1">
      <c r="B21" s="12" t="s">
        <v>152</v>
      </c>
      <c r="C21" s="17">
        <f>AVERAGE(C3:C19)</f>
        <v>431.09090909090907</v>
      </c>
      <c r="D21" s="17">
        <f aca="true" t="shared" si="2" ref="D21:K21">AVERAGE(D3:D19)</f>
        <v>412.8</v>
      </c>
      <c r="E21" s="17">
        <f t="shared" si="2"/>
        <v>429.4166666666667</v>
      </c>
      <c r="F21" s="17">
        <f t="shared" si="2"/>
        <v>415.375</v>
      </c>
      <c r="G21" s="17">
        <f t="shared" si="2"/>
        <v>441.46153846153845</v>
      </c>
      <c r="H21" s="17">
        <f t="shared" si="2"/>
        <v>422.6666666666667</v>
      </c>
      <c r="I21" s="17">
        <f t="shared" si="2"/>
        <v>426.64285714285717</v>
      </c>
      <c r="J21" s="17">
        <f t="shared" si="2"/>
        <v>439.2</v>
      </c>
      <c r="K21" s="17">
        <f t="shared" si="2"/>
        <v>422.7142857142857</v>
      </c>
      <c r="L21" s="17"/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41141</v>
      </c>
      <c r="N22" s="6">
        <f>SUM(N3:N19)</f>
        <v>79</v>
      </c>
      <c r="O22" s="6">
        <f>SUM(O3:O19)</f>
        <v>49</v>
      </c>
      <c r="P22" s="6">
        <f>SUM(P3:P19)</f>
        <v>1070</v>
      </c>
      <c r="Q22" s="6">
        <f>SUM(Q3:Q19)</f>
        <v>22</v>
      </c>
      <c r="S22" s="2">
        <f>N22-O22</f>
        <v>30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SUM(M3:M19)/16</f>
        <v>2571.3125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1:13" ht="15.75">
      <c r="A27" s="128" t="s">
        <v>169</v>
      </c>
      <c r="B27" s="132"/>
      <c r="C27" s="129" t="s">
        <v>166</v>
      </c>
      <c r="D27" s="129" t="s">
        <v>167</v>
      </c>
      <c r="E27" s="186" t="s">
        <v>168</v>
      </c>
      <c r="F27" s="186"/>
      <c r="I27" s="6">
        <f>N22+N48</f>
        <v>162</v>
      </c>
      <c r="J27" s="1">
        <f>O22+O48</f>
        <v>94</v>
      </c>
      <c r="K27" s="1">
        <f>Q22+Q48</f>
        <v>47</v>
      </c>
      <c r="L27" s="187">
        <f>I27-J27</f>
        <v>68</v>
      </c>
      <c r="M27" s="187"/>
    </row>
    <row r="28" ht="15.75">
      <c r="F28" s="57"/>
    </row>
    <row r="29" spans="1:6" ht="15.75">
      <c r="A29" s="59"/>
      <c r="C29" s="57"/>
      <c r="D29" s="57"/>
      <c r="E29" s="58"/>
      <c r="F29" s="57"/>
    </row>
    <row r="30" spans="2:17" ht="32.25" thickBot="1">
      <c r="B30" s="3" t="s">
        <v>29</v>
      </c>
      <c r="C30" s="9" t="s">
        <v>49</v>
      </c>
      <c r="D30" s="9" t="s">
        <v>50</v>
      </c>
      <c r="E30" s="9" t="s">
        <v>51</v>
      </c>
      <c r="F30" s="9" t="s">
        <v>52</v>
      </c>
      <c r="G30" s="9" t="s">
        <v>53</v>
      </c>
      <c r="H30" s="9" t="s">
        <v>54</v>
      </c>
      <c r="I30" s="9" t="s">
        <v>130</v>
      </c>
      <c r="J30" s="9" t="s">
        <v>156</v>
      </c>
      <c r="K30" s="9" t="s">
        <v>149</v>
      </c>
      <c r="L30" s="9"/>
      <c r="M30" s="3" t="s">
        <v>35</v>
      </c>
      <c r="N30" s="3" t="s">
        <v>30</v>
      </c>
      <c r="O30" s="3" t="s">
        <v>34</v>
      </c>
      <c r="P30" s="3" t="s">
        <v>36</v>
      </c>
      <c r="Q30" s="11" t="s">
        <v>134</v>
      </c>
    </row>
    <row r="31" spans="1:20" s="64" customFormat="1" ht="15.75">
      <c r="A31" s="63" t="s">
        <v>185</v>
      </c>
      <c r="B31" s="63" t="s">
        <v>23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3">
        <f aca="true" t="shared" si="3" ref="M31:M46">SUM(C31:L31)</f>
        <v>0</v>
      </c>
      <c r="N31" s="63"/>
      <c r="O31" s="63"/>
      <c r="P31" s="63"/>
      <c r="Q31" s="63"/>
      <c r="R31" s="65"/>
      <c r="S31" s="65"/>
      <c r="T31" s="65"/>
    </row>
    <row r="32" spans="1:20" s="25" customFormat="1" ht="15.75">
      <c r="A32" s="20" t="s">
        <v>186</v>
      </c>
      <c r="B32" s="20" t="s">
        <v>21</v>
      </c>
      <c r="C32" s="37"/>
      <c r="D32" s="37">
        <v>416</v>
      </c>
      <c r="E32" s="37">
        <v>417</v>
      </c>
      <c r="F32" s="37"/>
      <c r="G32" s="79">
        <v>460</v>
      </c>
      <c r="H32" s="79">
        <v>417</v>
      </c>
      <c r="I32" s="79">
        <v>441</v>
      </c>
      <c r="J32" s="79">
        <v>454</v>
      </c>
      <c r="K32" s="37"/>
      <c r="L32" s="37"/>
      <c r="M32" s="20">
        <f t="shared" si="3"/>
        <v>2605</v>
      </c>
      <c r="N32" s="20">
        <v>6</v>
      </c>
      <c r="O32" s="20">
        <v>2</v>
      </c>
      <c r="P32" s="20">
        <f>M32-2495</f>
        <v>110</v>
      </c>
      <c r="Q32" s="20">
        <v>2</v>
      </c>
      <c r="R32" s="24"/>
      <c r="S32" s="24"/>
      <c r="T32" s="24"/>
    </row>
    <row r="33" spans="1:20" s="34" customFormat="1" ht="15.75">
      <c r="A33" s="29" t="s">
        <v>187</v>
      </c>
      <c r="B33" s="29" t="s">
        <v>25</v>
      </c>
      <c r="C33" s="35">
        <v>402</v>
      </c>
      <c r="D33" s="35"/>
      <c r="E33" s="87">
        <v>434</v>
      </c>
      <c r="F33" s="35"/>
      <c r="G33" s="35">
        <v>415</v>
      </c>
      <c r="H33" s="35"/>
      <c r="I33" s="35">
        <v>421</v>
      </c>
      <c r="J33" s="87">
        <v>444</v>
      </c>
      <c r="K33" s="35">
        <v>413</v>
      </c>
      <c r="L33" s="35"/>
      <c r="M33" s="29">
        <f t="shared" si="3"/>
        <v>2529</v>
      </c>
      <c r="N33" s="29">
        <v>2</v>
      </c>
      <c r="O33" s="29">
        <v>6</v>
      </c>
      <c r="P33" s="29">
        <f>M33-2641</f>
        <v>-112</v>
      </c>
      <c r="Q33" s="29">
        <v>0</v>
      </c>
      <c r="R33" s="33"/>
      <c r="S33" s="33"/>
      <c r="T33" s="33"/>
    </row>
    <row r="34" spans="1:20" s="25" customFormat="1" ht="15.75">
      <c r="A34" s="20" t="s">
        <v>188</v>
      </c>
      <c r="B34" s="20" t="s">
        <v>17</v>
      </c>
      <c r="C34" s="37">
        <v>415</v>
      </c>
      <c r="D34" s="37">
        <v>405</v>
      </c>
      <c r="E34" s="79">
        <v>439</v>
      </c>
      <c r="F34" s="37"/>
      <c r="G34" s="79">
        <v>477</v>
      </c>
      <c r="H34" s="37"/>
      <c r="I34" s="79">
        <v>427</v>
      </c>
      <c r="J34" s="37">
        <v>409</v>
      </c>
      <c r="K34" s="37"/>
      <c r="L34" s="37"/>
      <c r="M34" s="20">
        <f t="shared" si="3"/>
        <v>2572</v>
      </c>
      <c r="N34" s="20">
        <v>5</v>
      </c>
      <c r="O34" s="20">
        <v>3</v>
      </c>
      <c r="P34" s="20">
        <f>M34-2441</f>
        <v>131</v>
      </c>
      <c r="Q34" s="20">
        <v>2</v>
      </c>
      <c r="R34" s="24"/>
      <c r="S34" s="24"/>
      <c r="T34" s="24"/>
    </row>
    <row r="35" spans="1:20" s="34" customFormat="1" ht="15.75">
      <c r="A35" s="29" t="s">
        <v>189</v>
      </c>
      <c r="B35" s="29" t="s">
        <v>15</v>
      </c>
      <c r="C35" s="35">
        <v>431</v>
      </c>
      <c r="D35" s="35"/>
      <c r="E35" s="87">
        <v>440</v>
      </c>
      <c r="F35" s="35"/>
      <c r="G35" s="87">
        <v>444</v>
      </c>
      <c r="H35" s="87">
        <v>440</v>
      </c>
      <c r="I35" s="35">
        <v>423</v>
      </c>
      <c r="J35" s="87">
        <v>455</v>
      </c>
      <c r="K35" s="35"/>
      <c r="L35" s="35"/>
      <c r="M35" s="29">
        <f t="shared" si="3"/>
        <v>2633</v>
      </c>
      <c r="N35" s="29">
        <v>6</v>
      </c>
      <c r="O35" s="29">
        <v>2</v>
      </c>
      <c r="P35" s="29">
        <f>M35-2585</f>
        <v>48</v>
      </c>
      <c r="Q35" s="29">
        <v>2</v>
      </c>
      <c r="R35" s="33"/>
      <c r="S35" s="33"/>
      <c r="T35" s="33"/>
    </row>
    <row r="36" spans="1:20" s="25" customFormat="1" ht="15.75">
      <c r="A36" s="20" t="s">
        <v>190</v>
      </c>
      <c r="B36" s="20" t="s">
        <v>27</v>
      </c>
      <c r="C36" s="37">
        <v>416</v>
      </c>
      <c r="D36" s="37"/>
      <c r="E36" s="79">
        <v>437</v>
      </c>
      <c r="F36" s="37"/>
      <c r="G36" s="79">
        <v>449</v>
      </c>
      <c r="H36" s="37">
        <v>421</v>
      </c>
      <c r="I36" s="79">
        <v>454</v>
      </c>
      <c r="J36" s="37">
        <v>385</v>
      </c>
      <c r="K36" s="37"/>
      <c r="L36" s="37"/>
      <c r="M36" s="20">
        <f t="shared" si="3"/>
        <v>2562</v>
      </c>
      <c r="N36" s="20">
        <v>3</v>
      </c>
      <c r="O36" s="20">
        <v>5</v>
      </c>
      <c r="P36" s="20">
        <v>-39</v>
      </c>
      <c r="Q36" s="20">
        <v>0</v>
      </c>
      <c r="R36" s="24"/>
      <c r="S36" s="24"/>
      <c r="T36" s="24"/>
    </row>
    <row r="37" spans="1:20" s="34" customFormat="1" ht="15.75">
      <c r="A37" s="29" t="s">
        <v>191</v>
      </c>
      <c r="B37" s="29" t="s">
        <v>32</v>
      </c>
      <c r="C37" s="35"/>
      <c r="D37" s="87">
        <v>458</v>
      </c>
      <c r="E37" s="35">
        <v>417</v>
      </c>
      <c r="F37" s="35"/>
      <c r="G37" s="87">
        <v>423</v>
      </c>
      <c r="H37" s="35"/>
      <c r="I37" s="87">
        <v>425</v>
      </c>
      <c r="J37" s="87">
        <v>446</v>
      </c>
      <c r="K37" s="35">
        <v>417</v>
      </c>
      <c r="L37" s="35"/>
      <c r="M37" s="29">
        <f t="shared" si="3"/>
        <v>2586</v>
      </c>
      <c r="N37" s="29">
        <v>6</v>
      </c>
      <c r="O37" s="29">
        <v>2</v>
      </c>
      <c r="P37" s="29">
        <f>M37-2358</f>
        <v>228</v>
      </c>
      <c r="Q37" s="29">
        <v>2</v>
      </c>
      <c r="R37" s="33"/>
      <c r="S37" s="33"/>
      <c r="T37" s="33"/>
    </row>
    <row r="38" spans="1:20" s="25" customFormat="1" ht="15.75">
      <c r="A38" s="20" t="s">
        <v>192</v>
      </c>
      <c r="B38" s="20" t="s">
        <v>28</v>
      </c>
      <c r="C38" s="79">
        <v>426</v>
      </c>
      <c r="D38" s="79">
        <v>431</v>
      </c>
      <c r="E38" s="79">
        <v>455</v>
      </c>
      <c r="F38" s="37"/>
      <c r="G38" s="37">
        <v>407</v>
      </c>
      <c r="H38" s="37"/>
      <c r="I38" s="79">
        <v>457</v>
      </c>
      <c r="J38" s="37">
        <v>416</v>
      </c>
      <c r="K38" s="37"/>
      <c r="L38" s="37"/>
      <c r="M38" s="20">
        <f t="shared" si="3"/>
        <v>2592</v>
      </c>
      <c r="N38" s="20">
        <v>6</v>
      </c>
      <c r="O38" s="20">
        <v>2</v>
      </c>
      <c r="P38" s="20">
        <f>M38-2504</f>
        <v>88</v>
      </c>
      <c r="Q38" s="20">
        <v>2</v>
      </c>
      <c r="R38" s="24"/>
      <c r="S38" s="24"/>
      <c r="T38" s="24"/>
    </row>
    <row r="39" spans="1:20" s="34" customFormat="1" ht="15.75">
      <c r="A39" s="29" t="s">
        <v>193</v>
      </c>
      <c r="B39" s="29" t="s">
        <v>198</v>
      </c>
      <c r="C39" s="35">
        <v>411</v>
      </c>
      <c r="D39" s="87">
        <v>431</v>
      </c>
      <c r="E39" s="35"/>
      <c r="F39" s="87">
        <v>413</v>
      </c>
      <c r="G39" s="35">
        <v>403</v>
      </c>
      <c r="H39" s="35"/>
      <c r="I39" s="87">
        <v>418</v>
      </c>
      <c r="J39" s="35"/>
      <c r="K39" s="87">
        <v>438</v>
      </c>
      <c r="L39" s="35"/>
      <c r="M39" s="29">
        <f t="shared" si="3"/>
        <v>2514</v>
      </c>
      <c r="N39" s="29">
        <v>6</v>
      </c>
      <c r="O39" s="29">
        <v>2</v>
      </c>
      <c r="P39" s="29">
        <f>M39-2448</f>
        <v>66</v>
      </c>
      <c r="Q39" s="29">
        <v>2</v>
      </c>
      <c r="R39" s="33"/>
      <c r="S39" s="33"/>
      <c r="T39" s="33"/>
    </row>
    <row r="40" spans="1:20" s="25" customFormat="1" ht="15.75">
      <c r="A40" s="20" t="s">
        <v>194</v>
      </c>
      <c r="B40" s="21" t="s">
        <v>18</v>
      </c>
      <c r="C40" s="20"/>
      <c r="D40" s="79">
        <v>431</v>
      </c>
      <c r="E40" s="79">
        <v>423</v>
      </c>
      <c r="F40" s="20"/>
      <c r="G40" s="20">
        <v>417</v>
      </c>
      <c r="H40" s="20"/>
      <c r="I40" s="20">
        <v>415</v>
      </c>
      <c r="J40" s="79">
        <v>437</v>
      </c>
      <c r="K40" s="20">
        <v>386</v>
      </c>
      <c r="L40" s="20"/>
      <c r="M40" s="20">
        <f t="shared" si="3"/>
        <v>2509</v>
      </c>
      <c r="N40" s="20">
        <v>3</v>
      </c>
      <c r="O40" s="20">
        <v>5</v>
      </c>
      <c r="P40" s="20">
        <v>-62</v>
      </c>
      <c r="Q40" s="20">
        <v>0</v>
      </c>
      <c r="R40" s="24"/>
      <c r="S40" s="24"/>
      <c r="T40" s="24"/>
    </row>
    <row r="41" spans="1:20" s="34" customFormat="1" ht="15.75">
      <c r="A41" s="29" t="s">
        <v>195</v>
      </c>
      <c r="B41" s="29" t="s">
        <v>26</v>
      </c>
      <c r="C41" s="29">
        <v>398</v>
      </c>
      <c r="D41" s="87">
        <v>459</v>
      </c>
      <c r="E41" s="87">
        <v>440</v>
      </c>
      <c r="F41" s="29"/>
      <c r="G41" s="87">
        <v>452</v>
      </c>
      <c r="H41" s="29"/>
      <c r="I41" s="87">
        <v>451</v>
      </c>
      <c r="J41" s="29">
        <v>428</v>
      </c>
      <c r="K41" s="29"/>
      <c r="L41" s="29"/>
      <c r="M41" s="29">
        <f t="shared" si="3"/>
        <v>2628</v>
      </c>
      <c r="N41" s="29">
        <v>6</v>
      </c>
      <c r="O41" s="29">
        <v>2</v>
      </c>
      <c r="P41" s="29">
        <v>7</v>
      </c>
      <c r="Q41" s="29">
        <v>2</v>
      </c>
      <c r="R41" s="33"/>
      <c r="S41" s="33"/>
      <c r="T41" s="33"/>
    </row>
    <row r="42" spans="1:20" s="25" customFormat="1" ht="15.75">
      <c r="A42" s="20" t="s">
        <v>196</v>
      </c>
      <c r="B42" s="20" t="s">
        <v>20</v>
      </c>
      <c r="C42" s="20"/>
      <c r="D42" s="20">
        <v>414</v>
      </c>
      <c r="E42" s="20">
        <v>405</v>
      </c>
      <c r="F42" s="79">
        <v>419</v>
      </c>
      <c r="G42" s="20">
        <v>415</v>
      </c>
      <c r="H42" s="20"/>
      <c r="I42" s="79">
        <v>436</v>
      </c>
      <c r="J42" s="79">
        <v>446</v>
      </c>
      <c r="K42" s="20"/>
      <c r="L42" s="20"/>
      <c r="M42" s="20">
        <f t="shared" si="3"/>
        <v>2535</v>
      </c>
      <c r="N42" s="20">
        <v>5</v>
      </c>
      <c r="O42" s="20">
        <v>3</v>
      </c>
      <c r="P42" s="20">
        <v>81</v>
      </c>
      <c r="Q42" s="20">
        <v>2</v>
      </c>
      <c r="R42" s="24"/>
      <c r="S42" s="24"/>
      <c r="T42" s="24"/>
    </row>
    <row r="43" spans="1:20" s="34" customFormat="1" ht="15.75">
      <c r="A43" s="29" t="s">
        <v>197</v>
      </c>
      <c r="B43" s="29" t="s">
        <v>22</v>
      </c>
      <c r="C43" s="29"/>
      <c r="D43" s="87">
        <v>428</v>
      </c>
      <c r="E43" s="29">
        <v>404</v>
      </c>
      <c r="F43" s="29">
        <v>393</v>
      </c>
      <c r="G43" s="87">
        <v>457</v>
      </c>
      <c r="H43" s="29"/>
      <c r="I43" s="87">
        <v>434</v>
      </c>
      <c r="J43" s="87">
        <v>420</v>
      </c>
      <c r="K43" s="29"/>
      <c r="L43" s="29"/>
      <c r="M43" s="29">
        <f t="shared" si="3"/>
        <v>2536</v>
      </c>
      <c r="N43" s="29">
        <v>4</v>
      </c>
      <c r="O43" s="29">
        <v>4</v>
      </c>
      <c r="P43" s="29">
        <v>-6</v>
      </c>
      <c r="Q43" s="29">
        <v>1</v>
      </c>
      <c r="R43" s="33"/>
      <c r="S43" s="33"/>
      <c r="T43" s="33"/>
    </row>
    <row r="44" spans="1:20" s="34" customFormat="1" ht="15.75">
      <c r="A44" s="29" t="s">
        <v>242</v>
      </c>
      <c r="B44" s="29" t="s">
        <v>16</v>
      </c>
      <c r="C44" s="35">
        <v>421</v>
      </c>
      <c r="D44" s="29"/>
      <c r="E44" s="29">
        <v>418</v>
      </c>
      <c r="F44" s="29">
        <v>408</v>
      </c>
      <c r="G44" s="87">
        <v>453</v>
      </c>
      <c r="H44" s="29"/>
      <c r="I44" s="87">
        <v>429</v>
      </c>
      <c r="J44" s="87">
        <v>433</v>
      </c>
      <c r="K44" s="29"/>
      <c r="L44" s="29"/>
      <c r="M44" s="29">
        <f t="shared" si="3"/>
        <v>2562</v>
      </c>
      <c r="N44" s="29">
        <v>5</v>
      </c>
      <c r="O44" s="29">
        <v>3</v>
      </c>
      <c r="P44" s="29">
        <f>M44-2521</f>
        <v>41</v>
      </c>
      <c r="Q44" s="29">
        <v>2</v>
      </c>
      <c r="R44" s="33"/>
      <c r="S44" s="33"/>
      <c r="T44" s="33"/>
    </row>
    <row r="45" spans="1:20" s="25" customFormat="1" ht="15.75">
      <c r="A45" s="20" t="s">
        <v>243</v>
      </c>
      <c r="B45" s="20" t="s">
        <v>19</v>
      </c>
      <c r="C45" s="20"/>
      <c r="D45" s="79">
        <v>454</v>
      </c>
      <c r="E45" s="20"/>
      <c r="F45" s="20"/>
      <c r="G45" s="79">
        <v>418</v>
      </c>
      <c r="H45" s="79">
        <v>416</v>
      </c>
      <c r="I45" s="20">
        <v>401</v>
      </c>
      <c r="J45" s="79">
        <v>459</v>
      </c>
      <c r="K45" s="79">
        <v>414</v>
      </c>
      <c r="L45" s="20"/>
      <c r="M45" s="20">
        <f t="shared" si="3"/>
        <v>2562</v>
      </c>
      <c r="N45" s="20">
        <v>7</v>
      </c>
      <c r="O45" s="20">
        <v>1</v>
      </c>
      <c r="P45" s="20">
        <v>213</v>
      </c>
      <c r="Q45" s="20">
        <v>2</v>
      </c>
      <c r="R45" s="24"/>
      <c r="S45" s="24"/>
      <c r="T45" s="24"/>
    </row>
    <row r="46" spans="1:20" s="34" customFormat="1" ht="15.75">
      <c r="A46" s="29" t="s">
        <v>244</v>
      </c>
      <c r="B46" s="29" t="s">
        <v>24</v>
      </c>
      <c r="C46" s="87">
        <v>494</v>
      </c>
      <c r="D46" s="29"/>
      <c r="E46" s="29"/>
      <c r="F46" s="29"/>
      <c r="G46" s="87">
        <v>449</v>
      </c>
      <c r="H46" s="29">
        <v>432</v>
      </c>
      <c r="I46" s="87">
        <v>487</v>
      </c>
      <c r="J46" s="87">
        <v>475</v>
      </c>
      <c r="K46" s="87">
        <v>448</v>
      </c>
      <c r="L46" s="29"/>
      <c r="M46" s="29">
        <f t="shared" si="3"/>
        <v>2785</v>
      </c>
      <c r="N46" s="29">
        <v>7</v>
      </c>
      <c r="O46" s="29">
        <v>1</v>
      </c>
      <c r="P46" s="29">
        <v>361</v>
      </c>
      <c r="Q46" s="29">
        <v>2</v>
      </c>
      <c r="R46" s="33"/>
      <c r="S46" s="33"/>
      <c r="T46" s="33"/>
    </row>
    <row r="47" spans="1:20" s="25" customFormat="1" ht="16.5" thickBot="1">
      <c r="A47" s="20" t="s">
        <v>245</v>
      </c>
      <c r="B47" s="20" t="s">
        <v>199</v>
      </c>
      <c r="C47" s="79">
        <v>462</v>
      </c>
      <c r="D47" s="20">
        <v>397</v>
      </c>
      <c r="E47" s="79">
        <v>450</v>
      </c>
      <c r="F47" s="79">
        <v>444</v>
      </c>
      <c r="G47" s="20"/>
      <c r="H47" s="20"/>
      <c r="I47" s="79">
        <v>473</v>
      </c>
      <c r="J47" s="20"/>
      <c r="K47" s="20">
        <v>404</v>
      </c>
      <c r="L47" s="20"/>
      <c r="M47" s="28">
        <f>SUM(C47:L47)</f>
        <v>2630</v>
      </c>
      <c r="N47" s="28">
        <v>6</v>
      </c>
      <c r="O47" s="28">
        <v>2</v>
      </c>
      <c r="P47" s="28">
        <v>281</v>
      </c>
      <c r="Q47" s="28">
        <v>2</v>
      </c>
      <c r="R47" s="24"/>
      <c r="S47" s="24"/>
      <c r="T47" s="24"/>
    </row>
    <row r="48" spans="3:17" ht="16.5" thickTop="1">
      <c r="C48" s="169">
        <f>SUM(C31:C47)</f>
        <v>4276</v>
      </c>
      <c r="D48" s="169">
        <f aca="true" t="shared" si="4" ref="D48:K48">SUM(D31:D47)</f>
        <v>4724</v>
      </c>
      <c r="E48" s="169">
        <f t="shared" si="4"/>
        <v>5579</v>
      </c>
      <c r="F48" s="169">
        <f t="shared" si="4"/>
        <v>2077</v>
      </c>
      <c r="G48" s="169">
        <f t="shared" si="4"/>
        <v>6539</v>
      </c>
      <c r="H48" s="169">
        <f t="shared" si="4"/>
        <v>2126</v>
      </c>
      <c r="I48" s="169">
        <f t="shared" si="4"/>
        <v>6992</v>
      </c>
      <c r="J48" s="169">
        <f t="shared" si="4"/>
        <v>6107</v>
      </c>
      <c r="K48" s="169">
        <f t="shared" si="4"/>
        <v>2920</v>
      </c>
      <c r="N48" s="1">
        <f>SUM(N31:N47)</f>
        <v>83</v>
      </c>
      <c r="O48" s="1">
        <f>SUM(O31:O47)</f>
        <v>45</v>
      </c>
      <c r="P48" s="1">
        <f>SUM(P31:P47)</f>
        <v>1436</v>
      </c>
      <c r="Q48" s="1">
        <f>SUM(Q31:Q47)</f>
        <v>25</v>
      </c>
    </row>
    <row r="50" spans="2:19" ht="31.5">
      <c r="B50" s="12" t="s">
        <v>152</v>
      </c>
      <c r="C50" s="17">
        <f>AVERAGE(C31:C47)</f>
        <v>427.6</v>
      </c>
      <c r="D50" s="17">
        <f aca="true" t="shared" si="5" ref="D50:K50">AVERAGE(D31:D47)</f>
        <v>429.45454545454544</v>
      </c>
      <c r="E50" s="17">
        <f t="shared" si="5"/>
        <v>429.15384615384613</v>
      </c>
      <c r="F50" s="17">
        <f t="shared" si="5"/>
        <v>415.4</v>
      </c>
      <c r="G50" s="17">
        <f t="shared" si="5"/>
        <v>435.93333333333334</v>
      </c>
      <c r="H50" s="17">
        <f t="shared" si="5"/>
        <v>425.2</v>
      </c>
      <c r="I50" s="17">
        <f t="shared" si="5"/>
        <v>437</v>
      </c>
      <c r="J50" s="17">
        <f t="shared" si="5"/>
        <v>436.2142857142857</v>
      </c>
      <c r="K50" s="17">
        <f t="shared" si="5"/>
        <v>417.14285714285717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41340</v>
      </c>
      <c r="N51" s="6">
        <f>SUM(N31:N47)</f>
        <v>83</v>
      </c>
      <c r="O51" s="6">
        <f>SUM(O31:O47)</f>
        <v>45</v>
      </c>
      <c r="P51" s="6">
        <f>SUM(P31:P47)</f>
        <v>1436</v>
      </c>
      <c r="Q51" s="6">
        <f>SUM(Q31:Q47)</f>
        <v>25</v>
      </c>
      <c r="S51" s="2">
        <f>N51-O51</f>
        <v>38</v>
      </c>
    </row>
    <row r="53" spans="13:14" ht="15.75">
      <c r="M53" s="1" t="s">
        <v>153</v>
      </c>
      <c r="N53" s="19">
        <f>M51/16</f>
        <v>2583.75</v>
      </c>
    </row>
  </sheetData>
  <mergeCells count="11">
    <mergeCell ref="C1:L1"/>
    <mergeCell ref="N1:O1"/>
    <mergeCell ref="C23:D23"/>
    <mergeCell ref="N21:O21"/>
    <mergeCell ref="N50:O50"/>
    <mergeCell ref="E27:F27"/>
    <mergeCell ref="L27:M27"/>
    <mergeCell ref="C24:D24"/>
    <mergeCell ref="C25:D25"/>
    <mergeCell ref="I26:J26"/>
    <mergeCell ref="L26:M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19">
      <selection activeCell="C30" sqref="C30:I47"/>
    </sheetView>
  </sheetViews>
  <sheetFormatPr defaultColWidth="9.00390625" defaultRowHeight="12.75"/>
  <cols>
    <col min="1" max="1" width="13.375" style="1" customWidth="1"/>
    <col min="2" max="2" width="10.375" style="1" bestFit="1" customWidth="1"/>
    <col min="3" max="8" width="9.125" style="1" customWidth="1"/>
    <col min="9" max="9" width="10.375" style="1" customWidth="1"/>
    <col min="10" max="10" width="9.125" style="1" customWidth="1"/>
    <col min="11" max="11" width="12.0039062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6.75" customHeight="1" thickBot="1">
      <c r="B2" s="3" t="s">
        <v>29</v>
      </c>
      <c r="C2" s="9" t="s">
        <v>45</v>
      </c>
      <c r="D2" s="9" t="s">
        <v>46</v>
      </c>
      <c r="E2" s="9" t="s">
        <v>47</v>
      </c>
      <c r="F2" s="9" t="s">
        <v>75</v>
      </c>
      <c r="G2" s="9" t="s">
        <v>76</v>
      </c>
      <c r="H2" s="9" t="s">
        <v>77</v>
      </c>
      <c r="I2" s="9" t="s">
        <v>114</v>
      </c>
      <c r="J2" s="9" t="s">
        <v>133</v>
      </c>
      <c r="K2" s="9" t="s">
        <v>181</v>
      </c>
      <c r="L2" s="9" t="s">
        <v>182</v>
      </c>
      <c r="M2" s="3" t="s">
        <v>35</v>
      </c>
      <c r="N2" s="3" t="s">
        <v>27</v>
      </c>
      <c r="O2" s="3" t="s">
        <v>34</v>
      </c>
      <c r="P2" s="3" t="s">
        <v>36</v>
      </c>
      <c r="Q2" s="11" t="s">
        <v>134</v>
      </c>
    </row>
    <row r="3" spans="1:17" s="34" customFormat="1" ht="15.75">
      <c r="A3" s="29" t="s">
        <v>0</v>
      </c>
      <c r="B3" s="29" t="s">
        <v>198</v>
      </c>
      <c r="C3" s="74">
        <v>476</v>
      </c>
      <c r="E3" s="74">
        <v>429</v>
      </c>
      <c r="F3" s="48">
        <v>388</v>
      </c>
      <c r="G3" s="74">
        <v>421</v>
      </c>
      <c r="H3" s="48">
        <v>373</v>
      </c>
      <c r="I3" s="74">
        <v>407</v>
      </c>
      <c r="J3" s="48"/>
      <c r="K3" s="48"/>
      <c r="L3" s="44"/>
      <c r="M3" s="32">
        <f>SUM(C3:L3)</f>
        <v>2494</v>
      </c>
      <c r="N3" s="29">
        <v>6</v>
      </c>
      <c r="O3" s="29">
        <v>2</v>
      </c>
      <c r="P3" s="29">
        <v>133</v>
      </c>
      <c r="Q3" s="29">
        <v>2</v>
      </c>
    </row>
    <row r="4" spans="1:17" s="25" customFormat="1" ht="15.75">
      <c r="A4" s="20" t="s">
        <v>1</v>
      </c>
      <c r="B4" s="20" t="s">
        <v>18</v>
      </c>
      <c r="C4" s="73">
        <v>464</v>
      </c>
      <c r="D4" s="47"/>
      <c r="E4" s="47">
        <v>416</v>
      </c>
      <c r="F4" s="47">
        <v>412</v>
      </c>
      <c r="G4" s="73">
        <v>446</v>
      </c>
      <c r="H4" s="47">
        <v>417</v>
      </c>
      <c r="I4" s="73">
        <v>420</v>
      </c>
      <c r="J4" s="47"/>
      <c r="K4" s="47"/>
      <c r="L4" s="39"/>
      <c r="M4" s="23">
        <f aca="true" t="shared" si="0" ref="M4:M19">SUM(C4:L4)</f>
        <v>2575</v>
      </c>
      <c r="N4" s="20">
        <v>5</v>
      </c>
      <c r="O4" s="20">
        <v>3</v>
      </c>
      <c r="P4" s="20">
        <v>82</v>
      </c>
      <c r="Q4" s="20">
        <v>2</v>
      </c>
    </row>
    <row r="5" spans="1:17" s="34" customFormat="1" ht="15.75">
      <c r="A5" s="29" t="s">
        <v>2</v>
      </c>
      <c r="B5" s="29" t="s">
        <v>26</v>
      </c>
      <c r="C5" s="74">
        <v>446</v>
      </c>
      <c r="D5" s="48"/>
      <c r="E5" s="48">
        <v>399</v>
      </c>
      <c r="F5" s="48">
        <v>411</v>
      </c>
      <c r="G5" s="48">
        <v>408</v>
      </c>
      <c r="H5" s="74">
        <v>421</v>
      </c>
      <c r="I5" s="74">
        <v>424</v>
      </c>
      <c r="J5" s="48"/>
      <c r="K5" s="48"/>
      <c r="L5" s="44"/>
      <c r="M5" s="32">
        <f t="shared" si="0"/>
        <v>2509</v>
      </c>
      <c r="N5" s="29">
        <v>3</v>
      </c>
      <c r="O5" s="29">
        <v>5</v>
      </c>
      <c r="P5" s="29">
        <v>-53</v>
      </c>
      <c r="Q5" s="29">
        <v>0</v>
      </c>
    </row>
    <row r="6" spans="1:17" s="25" customFormat="1" ht="15.75">
      <c r="A6" s="20" t="s">
        <v>3</v>
      </c>
      <c r="B6" s="20" t="s">
        <v>20</v>
      </c>
      <c r="C6" s="73">
        <v>447</v>
      </c>
      <c r="D6" s="47"/>
      <c r="E6" s="47">
        <v>421</v>
      </c>
      <c r="F6" s="47">
        <v>416</v>
      </c>
      <c r="G6" s="47">
        <v>406</v>
      </c>
      <c r="H6" s="47">
        <v>408</v>
      </c>
      <c r="I6" s="73">
        <v>422</v>
      </c>
      <c r="J6" s="47"/>
      <c r="K6" s="47"/>
      <c r="L6" s="39"/>
      <c r="M6" s="23">
        <f t="shared" si="0"/>
        <v>2520</v>
      </c>
      <c r="N6" s="20">
        <v>2</v>
      </c>
      <c r="O6" s="20">
        <v>6</v>
      </c>
      <c r="P6" s="23">
        <v>-15</v>
      </c>
      <c r="Q6" s="20">
        <v>0</v>
      </c>
    </row>
    <row r="7" spans="1:17" s="34" customFormat="1" ht="15.75">
      <c r="A7" s="29" t="s">
        <v>4</v>
      </c>
      <c r="B7" s="29" t="s">
        <v>22</v>
      </c>
      <c r="C7" s="74">
        <v>423</v>
      </c>
      <c r="D7" s="48"/>
      <c r="E7" s="48"/>
      <c r="F7" s="48">
        <v>372</v>
      </c>
      <c r="G7" s="74">
        <v>454</v>
      </c>
      <c r="H7" s="48">
        <v>399</v>
      </c>
      <c r="I7" s="48">
        <v>416</v>
      </c>
      <c r="J7" s="48"/>
      <c r="K7" s="48">
        <v>418</v>
      </c>
      <c r="L7" s="44"/>
      <c r="M7" s="32">
        <f t="shared" si="0"/>
        <v>2482</v>
      </c>
      <c r="N7" s="29">
        <v>2</v>
      </c>
      <c r="O7" s="29">
        <v>6</v>
      </c>
      <c r="P7" s="32">
        <v>-6</v>
      </c>
      <c r="Q7" s="29">
        <v>0</v>
      </c>
    </row>
    <row r="8" spans="1:17" s="25" customFormat="1" ht="15.75">
      <c r="A8" s="20" t="s">
        <v>5</v>
      </c>
      <c r="B8" s="20" t="s">
        <v>30</v>
      </c>
      <c r="C8" s="73">
        <v>446</v>
      </c>
      <c r="D8" s="47">
        <v>215</v>
      </c>
      <c r="E8" s="73">
        <v>464</v>
      </c>
      <c r="F8" s="47">
        <v>216</v>
      </c>
      <c r="G8" s="47">
        <v>409</v>
      </c>
      <c r="H8" s="47">
        <v>423</v>
      </c>
      <c r="I8" s="73">
        <v>442</v>
      </c>
      <c r="J8" s="47"/>
      <c r="K8" s="47"/>
      <c r="L8" s="39"/>
      <c r="M8" s="23">
        <f t="shared" si="0"/>
        <v>2615</v>
      </c>
      <c r="N8" s="20">
        <v>3</v>
      </c>
      <c r="O8" s="20">
        <v>5</v>
      </c>
      <c r="P8" s="20">
        <v>-18</v>
      </c>
      <c r="Q8" s="20">
        <v>0</v>
      </c>
    </row>
    <row r="9" spans="1:17" s="34" customFormat="1" ht="15.75">
      <c r="A9" s="29" t="s">
        <v>6</v>
      </c>
      <c r="B9" s="29" t="s">
        <v>19</v>
      </c>
      <c r="C9" s="74">
        <v>459</v>
      </c>
      <c r="D9" s="48"/>
      <c r="E9" s="74">
        <v>411</v>
      </c>
      <c r="F9" s="48">
        <v>393</v>
      </c>
      <c r="G9" s="74">
        <v>443</v>
      </c>
      <c r="H9" s="48">
        <v>407</v>
      </c>
      <c r="I9" s="48"/>
      <c r="J9" s="48"/>
      <c r="K9" s="74">
        <v>476</v>
      </c>
      <c r="L9" s="44"/>
      <c r="M9" s="32">
        <f t="shared" si="0"/>
        <v>2589</v>
      </c>
      <c r="N9" s="29">
        <v>6</v>
      </c>
      <c r="O9" s="29">
        <v>2</v>
      </c>
      <c r="P9" s="32">
        <f>M9-2398</f>
        <v>191</v>
      </c>
      <c r="Q9" s="29">
        <v>2</v>
      </c>
    </row>
    <row r="10" spans="1:17" s="25" customFormat="1" ht="15.75">
      <c r="A10" s="20" t="s">
        <v>7</v>
      </c>
      <c r="B10" s="20" t="s">
        <v>24</v>
      </c>
      <c r="C10" s="77">
        <v>467</v>
      </c>
      <c r="D10" s="47">
        <v>407</v>
      </c>
      <c r="E10" s="77">
        <v>423</v>
      </c>
      <c r="F10" s="49"/>
      <c r="G10" s="77">
        <v>420</v>
      </c>
      <c r="H10" s="49"/>
      <c r="I10" s="77">
        <v>419</v>
      </c>
      <c r="J10" s="49"/>
      <c r="K10" s="77">
        <v>436</v>
      </c>
      <c r="L10" s="39"/>
      <c r="M10" s="23">
        <f t="shared" si="0"/>
        <v>2572</v>
      </c>
      <c r="N10" s="20">
        <v>7</v>
      </c>
      <c r="O10" s="20">
        <v>1</v>
      </c>
      <c r="P10" s="20">
        <v>300</v>
      </c>
      <c r="Q10" s="20">
        <v>2</v>
      </c>
    </row>
    <row r="11" spans="1:17" s="34" customFormat="1" ht="15.75">
      <c r="A11" s="29" t="s">
        <v>8</v>
      </c>
      <c r="B11" s="29" t="s">
        <v>199</v>
      </c>
      <c r="C11" s="124">
        <v>435</v>
      </c>
      <c r="D11" s="74">
        <v>417</v>
      </c>
      <c r="E11" s="48"/>
      <c r="F11" s="48"/>
      <c r="G11" s="74">
        <v>453</v>
      </c>
      <c r="H11" s="74">
        <v>424</v>
      </c>
      <c r="I11" s="48">
        <v>399</v>
      </c>
      <c r="J11" s="48"/>
      <c r="K11" s="74">
        <v>432</v>
      </c>
      <c r="L11" s="44"/>
      <c r="M11" s="32">
        <f>SUM(C11:L11)</f>
        <v>2560</v>
      </c>
      <c r="N11" s="29">
        <v>7</v>
      </c>
      <c r="O11" s="29">
        <v>1</v>
      </c>
      <c r="P11" s="29">
        <v>371</v>
      </c>
      <c r="Q11" s="29">
        <v>2</v>
      </c>
    </row>
    <row r="12" spans="1:17" s="64" customFormat="1" ht="15.75">
      <c r="A12" s="63" t="s">
        <v>9</v>
      </c>
      <c r="B12" s="63" t="s">
        <v>23</v>
      </c>
      <c r="C12" s="81"/>
      <c r="D12" s="81"/>
      <c r="E12" s="81"/>
      <c r="F12" s="81"/>
      <c r="G12" s="81"/>
      <c r="H12" s="81"/>
      <c r="I12" s="81"/>
      <c r="J12" s="81"/>
      <c r="K12" s="81"/>
      <c r="L12" s="83"/>
      <c r="M12" s="71">
        <f t="shared" si="0"/>
        <v>0</v>
      </c>
      <c r="N12" s="63"/>
      <c r="O12" s="63"/>
      <c r="P12" s="63"/>
      <c r="Q12" s="63"/>
    </row>
    <row r="13" spans="1:17" s="34" customFormat="1" ht="15.75">
      <c r="A13" s="29" t="s">
        <v>10</v>
      </c>
      <c r="B13" s="29" t="s">
        <v>21</v>
      </c>
      <c r="C13" s="48">
        <v>409</v>
      </c>
      <c r="D13" s="74">
        <v>458</v>
      </c>
      <c r="E13" s="48"/>
      <c r="F13" s="48">
        <v>413</v>
      </c>
      <c r="G13" s="48">
        <v>417</v>
      </c>
      <c r="H13" s="74">
        <v>436</v>
      </c>
      <c r="I13" s="48"/>
      <c r="J13" s="48"/>
      <c r="K13" s="74">
        <v>427</v>
      </c>
      <c r="L13" s="44"/>
      <c r="M13" s="32">
        <f t="shared" si="0"/>
        <v>2560</v>
      </c>
      <c r="N13" s="29">
        <v>5</v>
      </c>
      <c r="O13" s="29">
        <v>3</v>
      </c>
      <c r="P13" s="32">
        <f>M13-2327</f>
        <v>233</v>
      </c>
      <c r="Q13" s="29">
        <v>2</v>
      </c>
    </row>
    <row r="14" spans="1:17" s="25" customFormat="1" ht="15.75">
      <c r="A14" s="20" t="s">
        <v>11</v>
      </c>
      <c r="B14" s="20" t="s">
        <v>25</v>
      </c>
      <c r="C14" s="73">
        <v>475</v>
      </c>
      <c r="D14" s="73">
        <v>442</v>
      </c>
      <c r="E14" s="47"/>
      <c r="F14" s="47"/>
      <c r="G14" s="47">
        <v>397</v>
      </c>
      <c r="H14" s="47">
        <v>418</v>
      </c>
      <c r="I14" s="73">
        <v>438</v>
      </c>
      <c r="J14" s="47"/>
      <c r="K14" s="73">
        <v>442</v>
      </c>
      <c r="L14" s="39"/>
      <c r="M14" s="23">
        <f t="shared" si="0"/>
        <v>2612</v>
      </c>
      <c r="N14" s="20">
        <v>6</v>
      </c>
      <c r="O14" s="20">
        <v>2</v>
      </c>
      <c r="P14" s="20">
        <v>35</v>
      </c>
      <c r="Q14" s="20">
        <v>2</v>
      </c>
    </row>
    <row r="15" spans="1:17" s="34" customFormat="1" ht="15.75">
      <c r="A15" s="29" t="s">
        <v>12</v>
      </c>
      <c r="B15" s="29" t="s">
        <v>17</v>
      </c>
      <c r="C15" s="74">
        <v>477</v>
      </c>
      <c r="D15" s="74">
        <v>444</v>
      </c>
      <c r="E15" s="48"/>
      <c r="F15" s="48">
        <v>414</v>
      </c>
      <c r="G15" s="48"/>
      <c r="H15" s="48">
        <v>430</v>
      </c>
      <c r="I15" s="74">
        <v>430</v>
      </c>
      <c r="J15" s="48"/>
      <c r="K15" s="48">
        <v>422</v>
      </c>
      <c r="L15" s="44"/>
      <c r="M15" s="32">
        <f t="shared" si="0"/>
        <v>2617</v>
      </c>
      <c r="N15" s="29">
        <v>5</v>
      </c>
      <c r="O15" s="29">
        <v>3</v>
      </c>
      <c r="P15" s="29">
        <v>102</v>
      </c>
      <c r="Q15" s="29">
        <v>2</v>
      </c>
    </row>
    <row r="16" spans="1:17" s="25" customFormat="1" ht="15.75">
      <c r="A16" s="20" t="s">
        <v>13</v>
      </c>
      <c r="B16" s="20" t="s">
        <v>15</v>
      </c>
      <c r="C16" s="47"/>
      <c r="D16" s="47">
        <v>423</v>
      </c>
      <c r="E16" s="47"/>
      <c r="F16" s="73">
        <v>454</v>
      </c>
      <c r="G16" s="73">
        <v>455</v>
      </c>
      <c r="H16" s="47">
        <v>396</v>
      </c>
      <c r="I16" s="47">
        <v>411</v>
      </c>
      <c r="J16" s="47"/>
      <c r="K16" s="73">
        <v>433</v>
      </c>
      <c r="L16" s="39"/>
      <c r="M16" s="23">
        <f t="shared" si="0"/>
        <v>2572</v>
      </c>
      <c r="N16" s="20">
        <v>3</v>
      </c>
      <c r="O16" s="20">
        <v>5</v>
      </c>
      <c r="P16" s="23">
        <v>-12</v>
      </c>
      <c r="Q16" s="20">
        <v>0</v>
      </c>
    </row>
    <row r="17" spans="1:17" s="34" customFormat="1" ht="15.75">
      <c r="A17" s="29" t="s">
        <v>14</v>
      </c>
      <c r="B17" s="29" t="s">
        <v>16</v>
      </c>
      <c r="C17" s="74">
        <v>443</v>
      </c>
      <c r="D17" s="74">
        <v>429</v>
      </c>
      <c r="E17" s="48"/>
      <c r="F17" s="48">
        <v>411</v>
      </c>
      <c r="G17" s="74">
        <v>428</v>
      </c>
      <c r="H17" s="74">
        <v>426</v>
      </c>
      <c r="I17" s="48">
        <v>416</v>
      </c>
      <c r="J17" s="48"/>
      <c r="K17" s="48"/>
      <c r="L17" s="44"/>
      <c r="M17" s="32">
        <f t="shared" si="0"/>
        <v>2553</v>
      </c>
      <c r="N17" s="29">
        <v>6</v>
      </c>
      <c r="O17" s="29">
        <v>2</v>
      </c>
      <c r="P17" s="32">
        <v>27</v>
      </c>
      <c r="Q17" s="29">
        <v>2</v>
      </c>
    </row>
    <row r="18" spans="1:17" s="34" customFormat="1" ht="15.75">
      <c r="A18" s="29" t="s">
        <v>234</v>
      </c>
      <c r="B18" s="29" t="s">
        <v>32</v>
      </c>
      <c r="C18" s="48">
        <v>402</v>
      </c>
      <c r="D18" s="74">
        <v>443</v>
      </c>
      <c r="E18" s="48"/>
      <c r="F18" s="48">
        <v>387</v>
      </c>
      <c r="G18" s="48">
        <v>406</v>
      </c>
      <c r="H18" s="74">
        <v>419</v>
      </c>
      <c r="I18" s="74">
        <v>447</v>
      </c>
      <c r="J18" s="48"/>
      <c r="K18" s="48"/>
      <c r="L18" s="44"/>
      <c r="M18" s="32">
        <f t="shared" si="0"/>
        <v>2504</v>
      </c>
      <c r="N18" s="29">
        <v>5</v>
      </c>
      <c r="O18" s="29">
        <v>3</v>
      </c>
      <c r="P18" s="32">
        <f>M18-2437</f>
        <v>67</v>
      </c>
      <c r="Q18" s="29">
        <v>2</v>
      </c>
    </row>
    <row r="19" spans="1:17" s="25" customFormat="1" ht="16.5" thickBot="1">
      <c r="A19" s="20" t="s">
        <v>235</v>
      </c>
      <c r="B19" s="20" t="s">
        <v>28</v>
      </c>
      <c r="C19" s="134">
        <v>501</v>
      </c>
      <c r="D19" s="134">
        <v>463</v>
      </c>
      <c r="E19" s="53"/>
      <c r="F19" s="53">
        <v>414</v>
      </c>
      <c r="G19" s="134">
        <v>425</v>
      </c>
      <c r="H19" s="53">
        <v>401</v>
      </c>
      <c r="I19" s="53">
        <v>409</v>
      </c>
      <c r="J19" s="53"/>
      <c r="K19" s="53"/>
      <c r="L19" s="54"/>
      <c r="M19" s="55">
        <f t="shared" si="0"/>
        <v>2613</v>
      </c>
      <c r="N19" s="28">
        <v>3</v>
      </c>
      <c r="O19" s="28">
        <v>5</v>
      </c>
      <c r="P19" s="27">
        <v>-15</v>
      </c>
      <c r="Q19" s="28">
        <v>0</v>
      </c>
    </row>
    <row r="20" spans="3:12" ht="16.5" thickTop="1">
      <c r="C20" s="6">
        <f>SUM(C3:C19)</f>
        <v>6770</v>
      </c>
      <c r="D20" s="6">
        <f aca="true" t="shared" si="1" ref="D20:L20">SUM(D3:D19)</f>
        <v>4141</v>
      </c>
      <c r="E20" s="6">
        <f>SUM(E3:E19)</f>
        <v>2963</v>
      </c>
      <c r="F20" s="6">
        <f t="shared" si="1"/>
        <v>5101</v>
      </c>
      <c r="G20" s="6">
        <f t="shared" si="1"/>
        <v>6388</v>
      </c>
      <c r="H20" s="6">
        <f t="shared" si="1"/>
        <v>6198</v>
      </c>
      <c r="I20" s="6">
        <f t="shared" si="1"/>
        <v>5900</v>
      </c>
      <c r="J20" s="6">
        <f t="shared" si="1"/>
        <v>0</v>
      </c>
      <c r="K20" s="6">
        <f t="shared" si="1"/>
        <v>3486</v>
      </c>
      <c r="L20" s="6">
        <f t="shared" si="1"/>
        <v>0</v>
      </c>
    </row>
    <row r="21" spans="2:19" ht="35.25" customHeight="1">
      <c r="B21" s="12" t="s">
        <v>152</v>
      </c>
      <c r="C21" s="17">
        <f>AVERAGE(C3:C19)</f>
        <v>451.3333333333333</v>
      </c>
      <c r="D21" s="17">
        <f>D20/9.5</f>
        <v>435.89473684210526</v>
      </c>
      <c r="E21" s="17">
        <f aca="true" t="shared" si="2" ref="E21:K21">AVERAGE(E3:E19)</f>
        <v>423.2857142857143</v>
      </c>
      <c r="F21" s="17">
        <f>F20/12.5</f>
        <v>408.08</v>
      </c>
      <c r="G21" s="17">
        <f t="shared" si="2"/>
        <v>425.8666666666667</v>
      </c>
      <c r="H21" s="17">
        <f t="shared" si="2"/>
        <v>413.2</v>
      </c>
      <c r="I21" s="17">
        <f t="shared" si="2"/>
        <v>421.42857142857144</v>
      </c>
      <c r="J21" s="17"/>
      <c r="K21" s="17">
        <f t="shared" si="2"/>
        <v>435.75</v>
      </c>
      <c r="L21" s="17"/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40947</v>
      </c>
      <c r="N22" s="1">
        <f>SUM(N3:N19)</f>
        <v>74</v>
      </c>
      <c r="O22" s="1">
        <f>SUM(O3:O19)</f>
        <v>54</v>
      </c>
      <c r="P22" s="1">
        <f>SUM(P3:P19)</f>
        <v>1422</v>
      </c>
      <c r="Q22" s="1">
        <f>SUM(Q3:Q19)</f>
        <v>20</v>
      </c>
      <c r="S22" s="2">
        <f>N22-O22</f>
        <v>20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M22/16</f>
        <v>2559.1875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9:13" ht="15.75">
      <c r="I27" s="1">
        <f>N22+N48</f>
        <v>155</v>
      </c>
      <c r="J27" s="1">
        <f>O22+O48</f>
        <v>101</v>
      </c>
      <c r="K27" s="1">
        <f>Q22+Q48</f>
        <v>44</v>
      </c>
      <c r="L27" s="187">
        <f>I27-J27</f>
        <v>54</v>
      </c>
      <c r="M27" s="187"/>
    </row>
    <row r="28" spans="1:6" ht="15.75">
      <c r="A28" s="128" t="s">
        <v>169</v>
      </c>
      <c r="B28" s="129"/>
      <c r="C28" s="129" t="s">
        <v>166</v>
      </c>
      <c r="D28" s="129" t="s">
        <v>171</v>
      </c>
      <c r="E28" s="186" t="s">
        <v>172</v>
      </c>
      <c r="F28" s="186"/>
    </row>
    <row r="29" spans="1:6" ht="15.75">
      <c r="A29" s="59"/>
      <c r="B29" s="57"/>
      <c r="C29" s="57"/>
      <c r="D29" s="57"/>
      <c r="E29" s="58"/>
      <c r="F29" s="57"/>
    </row>
    <row r="30" spans="2:17" ht="36.75" customHeight="1" thickBot="1">
      <c r="B30" s="3" t="s">
        <v>29</v>
      </c>
      <c r="C30" s="9" t="s">
        <v>45</v>
      </c>
      <c r="D30" s="9" t="s">
        <v>46</v>
      </c>
      <c r="E30" s="9" t="s">
        <v>47</v>
      </c>
      <c r="F30" s="9" t="s">
        <v>75</v>
      </c>
      <c r="G30" s="9" t="s">
        <v>76</v>
      </c>
      <c r="H30" s="9" t="s">
        <v>77</v>
      </c>
      <c r="I30" s="9" t="s">
        <v>114</v>
      </c>
      <c r="J30" s="9" t="s">
        <v>133</v>
      </c>
      <c r="K30" s="9" t="s">
        <v>181</v>
      </c>
      <c r="L30" s="9" t="s">
        <v>182</v>
      </c>
      <c r="M30" s="3" t="s">
        <v>35</v>
      </c>
      <c r="N30" s="3" t="s">
        <v>27</v>
      </c>
      <c r="O30" s="3" t="s">
        <v>34</v>
      </c>
      <c r="P30" s="3" t="s">
        <v>36</v>
      </c>
      <c r="Q30" s="11" t="s">
        <v>134</v>
      </c>
    </row>
    <row r="31" spans="1:17" s="25" customFormat="1" ht="15.75">
      <c r="A31" s="20" t="s">
        <v>185</v>
      </c>
      <c r="B31" s="20" t="s">
        <v>198</v>
      </c>
      <c r="C31" s="79">
        <v>459</v>
      </c>
      <c r="D31" s="79">
        <v>438</v>
      </c>
      <c r="E31" s="37"/>
      <c r="F31" s="37">
        <v>411</v>
      </c>
      <c r="G31" s="37"/>
      <c r="H31" s="79">
        <v>429</v>
      </c>
      <c r="I31" s="79">
        <v>426</v>
      </c>
      <c r="J31" s="20"/>
      <c r="K31" s="79">
        <v>435</v>
      </c>
      <c r="L31" s="20"/>
      <c r="M31" s="20">
        <f>SUM(C31:L31)</f>
        <v>2598</v>
      </c>
      <c r="N31" s="20">
        <v>7</v>
      </c>
      <c r="O31" s="20">
        <v>1</v>
      </c>
      <c r="P31" s="20">
        <f>M31-2361</f>
        <v>237</v>
      </c>
      <c r="Q31" s="20">
        <v>2</v>
      </c>
    </row>
    <row r="32" spans="1:17" s="34" customFormat="1" ht="15.75">
      <c r="A32" s="29" t="s">
        <v>186</v>
      </c>
      <c r="B32" s="29" t="s">
        <v>18</v>
      </c>
      <c r="C32" s="87">
        <v>468</v>
      </c>
      <c r="D32" s="87">
        <v>458</v>
      </c>
      <c r="E32" s="35"/>
      <c r="F32" s="35">
        <v>413</v>
      </c>
      <c r="G32" s="35"/>
      <c r="H32" s="35">
        <v>426</v>
      </c>
      <c r="I32" s="87">
        <v>440</v>
      </c>
      <c r="J32" s="29"/>
      <c r="K32" s="87">
        <v>427</v>
      </c>
      <c r="L32" s="29"/>
      <c r="M32" s="29">
        <f>SUM(C32:L32)</f>
        <v>2632</v>
      </c>
      <c r="N32" s="29">
        <v>6</v>
      </c>
      <c r="O32" s="29">
        <v>2</v>
      </c>
      <c r="P32" s="29">
        <v>139</v>
      </c>
      <c r="Q32" s="29">
        <v>2</v>
      </c>
    </row>
    <row r="33" spans="1:17" s="25" customFormat="1" ht="15.75">
      <c r="A33" s="20" t="s">
        <v>187</v>
      </c>
      <c r="B33" s="20" t="s">
        <v>26</v>
      </c>
      <c r="C33" s="79">
        <v>477</v>
      </c>
      <c r="D33" s="79">
        <v>446</v>
      </c>
      <c r="E33" s="37"/>
      <c r="F33" s="37"/>
      <c r="G33" s="37">
        <v>374</v>
      </c>
      <c r="H33" s="79">
        <v>436</v>
      </c>
      <c r="I33" s="79">
        <v>430</v>
      </c>
      <c r="J33" s="20"/>
      <c r="K33" s="79">
        <v>429</v>
      </c>
      <c r="L33" s="20"/>
      <c r="M33" s="20">
        <f aca="true" t="shared" si="3" ref="M33:M47">SUM(C33:L33)</f>
        <v>2592</v>
      </c>
      <c r="N33" s="20">
        <v>7</v>
      </c>
      <c r="O33" s="20">
        <v>1</v>
      </c>
      <c r="P33" s="20">
        <f>M33-2517</f>
        <v>75</v>
      </c>
      <c r="Q33" s="20">
        <v>2</v>
      </c>
    </row>
    <row r="34" spans="1:17" s="34" customFormat="1" ht="15.75">
      <c r="A34" s="29" t="s">
        <v>188</v>
      </c>
      <c r="B34" s="29" t="s">
        <v>20</v>
      </c>
      <c r="C34" s="87">
        <v>473</v>
      </c>
      <c r="D34" s="35">
        <v>434</v>
      </c>
      <c r="E34" s="35"/>
      <c r="F34" s="35"/>
      <c r="G34" s="35">
        <v>404</v>
      </c>
      <c r="H34" s="35">
        <v>402</v>
      </c>
      <c r="I34" s="87">
        <v>440</v>
      </c>
      <c r="J34" s="29"/>
      <c r="K34" s="87">
        <v>451</v>
      </c>
      <c r="L34" s="29"/>
      <c r="M34" s="29">
        <f t="shared" si="3"/>
        <v>2604</v>
      </c>
      <c r="N34" s="29">
        <v>5</v>
      </c>
      <c r="O34" s="29">
        <v>3</v>
      </c>
      <c r="P34" s="29">
        <v>34</v>
      </c>
      <c r="Q34" s="29">
        <v>2</v>
      </c>
    </row>
    <row r="35" spans="1:17" s="25" customFormat="1" ht="15.75">
      <c r="A35" s="20" t="s">
        <v>189</v>
      </c>
      <c r="B35" s="20" t="s">
        <v>22</v>
      </c>
      <c r="C35" s="79">
        <v>448</v>
      </c>
      <c r="D35" s="79">
        <v>438</v>
      </c>
      <c r="E35" s="37"/>
      <c r="F35" s="37">
        <v>420</v>
      </c>
      <c r="G35" s="79">
        <v>435</v>
      </c>
      <c r="H35" s="37">
        <v>398</v>
      </c>
      <c r="I35" s="79">
        <v>425</v>
      </c>
      <c r="J35" s="20"/>
      <c r="K35" s="20"/>
      <c r="L35" s="20"/>
      <c r="M35" s="20">
        <f t="shared" si="3"/>
        <v>2564</v>
      </c>
      <c r="N35" s="20">
        <v>6</v>
      </c>
      <c r="O35" s="20">
        <v>2</v>
      </c>
      <c r="P35" s="20">
        <v>105</v>
      </c>
      <c r="Q35" s="20">
        <v>2</v>
      </c>
    </row>
    <row r="36" spans="1:17" s="34" customFormat="1" ht="15.75">
      <c r="A36" s="29" t="s">
        <v>190</v>
      </c>
      <c r="B36" s="29" t="s">
        <v>30</v>
      </c>
      <c r="C36" s="87">
        <v>470</v>
      </c>
      <c r="D36" s="87">
        <v>462</v>
      </c>
      <c r="E36" s="35"/>
      <c r="F36" s="35">
        <v>406</v>
      </c>
      <c r="G36" s="35">
        <v>419</v>
      </c>
      <c r="H36" s="35">
        <v>408</v>
      </c>
      <c r="I36" s="87">
        <v>436</v>
      </c>
      <c r="J36" s="29"/>
      <c r="K36" s="29"/>
      <c r="L36" s="29"/>
      <c r="M36" s="29">
        <f t="shared" si="3"/>
        <v>2601</v>
      </c>
      <c r="N36" s="29">
        <v>5</v>
      </c>
      <c r="O36" s="29">
        <v>3</v>
      </c>
      <c r="P36" s="29">
        <f>M36-2562</f>
        <v>39</v>
      </c>
      <c r="Q36" s="29">
        <v>2</v>
      </c>
    </row>
    <row r="37" spans="1:17" s="25" customFormat="1" ht="15.75">
      <c r="A37" s="20" t="s">
        <v>191</v>
      </c>
      <c r="B37" s="20" t="s">
        <v>19</v>
      </c>
      <c r="C37" s="79">
        <v>436</v>
      </c>
      <c r="D37" s="79">
        <v>434</v>
      </c>
      <c r="E37" s="37"/>
      <c r="F37" s="79">
        <v>406</v>
      </c>
      <c r="G37" s="37">
        <v>399</v>
      </c>
      <c r="H37" s="79">
        <v>430</v>
      </c>
      <c r="I37" s="79">
        <v>412</v>
      </c>
      <c r="J37" s="20"/>
      <c r="K37" s="20"/>
      <c r="L37" s="20"/>
      <c r="M37" s="20">
        <f t="shared" si="3"/>
        <v>2517</v>
      </c>
      <c r="N37" s="20">
        <v>7</v>
      </c>
      <c r="O37" s="20">
        <v>1</v>
      </c>
      <c r="P37" s="20">
        <v>131</v>
      </c>
      <c r="Q37" s="20">
        <v>2</v>
      </c>
    </row>
    <row r="38" spans="1:17" s="34" customFormat="1" ht="15.75">
      <c r="A38" s="29" t="s">
        <v>192</v>
      </c>
      <c r="B38" s="29" t="s">
        <v>24</v>
      </c>
      <c r="C38" s="87">
        <v>483</v>
      </c>
      <c r="D38" s="87">
        <v>441</v>
      </c>
      <c r="E38" s="35"/>
      <c r="F38" s="35">
        <v>383</v>
      </c>
      <c r="G38" s="35">
        <v>410</v>
      </c>
      <c r="H38" s="87">
        <v>418</v>
      </c>
      <c r="I38" s="87">
        <v>438</v>
      </c>
      <c r="J38" s="29"/>
      <c r="K38" s="29"/>
      <c r="L38" s="29"/>
      <c r="M38" s="29">
        <f t="shared" si="3"/>
        <v>2573</v>
      </c>
      <c r="N38" s="29">
        <v>6</v>
      </c>
      <c r="O38" s="29">
        <v>2</v>
      </c>
      <c r="P38" s="29">
        <v>219</v>
      </c>
      <c r="Q38" s="29">
        <v>2</v>
      </c>
    </row>
    <row r="39" spans="1:17" s="25" customFormat="1" ht="15.75">
      <c r="A39" s="20" t="s">
        <v>193</v>
      </c>
      <c r="B39" s="20" t="s">
        <v>199</v>
      </c>
      <c r="C39" s="79">
        <v>457</v>
      </c>
      <c r="D39" s="79">
        <v>410</v>
      </c>
      <c r="E39" s="37"/>
      <c r="F39" s="79">
        <v>411</v>
      </c>
      <c r="G39" s="79">
        <v>413</v>
      </c>
      <c r="H39" s="79">
        <v>422</v>
      </c>
      <c r="I39" s="37">
        <v>392</v>
      </c>
      <c r="J39" s="20"/>
      <c r="K39" s="20"/>
      <c r="L39" s="20"/>
      <c r="M39" s="20">
        <f t="shared" si="3"/>
        <v>2505</v>
      </c>
      <c r="N39" s="20">
        <v>7</v>
      </c>
      <c r="O39" s="20">
        <v>1</v>
      </c>
      <c r="P39" s="20">
        <v>179</v>
      </c>
      <c r="Q39" s="20">
        <v>2</v>
      </c>
    </row>
    <row r="40" spans="1:17" s="64" customFormat="1" ht="15.75">
      <c r="A40" s="63" t="s">
        <v>194</v>
      </c>
      <c r="B40" s="63" t="s">
        <v>23</v>
      </c>
      <c r="C40" s="69"/>
      <c r="D40" s="69"/>
      <c r="E40" s="69"/>
      <c r="F40" s="69"/>
      <c r="G40" s="69"/>
      <c r="H40" s="69"/>
      <c r="I40" s="69"/>
      <c r="J40" s="63"/>
      <c r="K40" s="63"/>
      <c r="L40" s="63"/>
      <c r="M40" s="63">
        <f t="shared" si="3"/>
        <v>0</v>
      </c>
      <c r="N40" s="63"/>
      <c r="O40" s="63"/>
      <c r="P40" s="63"/>
      <c r="Q40" s="63"/>
    </row>
    <row r="41" spans="1:17" s="25" customFormat="1" ht="15.75">
      <c r="A41" s="20" t="s">
        <v>195</v>
      </c>
      <c r="B41" s="20" t="s">
        <v>21</v>
      </c>
      <c r="C41" s="79">
        <v>450</v>
      </c>
      <c r="D41" s="79">
        <v>451</v>
      </c>
      <c r="E41" s="20"/>
      <c r="F41" s="20">
        <v>416</v>
      </c>
      <c r="G41" s="20">
        <v>399</v>
      </c>
      <c r="H41" s="79">
        <v>430</v>
      </c>
      <c r="I41" s="20">
        <v>402</v>
      </c>
      <c r="J41" s="20"/>
      <c r="K41" s="20"/>
      <c r="L41" s="20"/>
      <c r="M41" s="20">
        <f t="shared" si="3"/>
        <v>2548</v>
      </c>
      <c r="N41" s="20">
        <v>5</v>
      </c>
      <c r="O41" s="20">
        <v>3</v>
      </c>
      <c r="P41" s="20">
        <v>42</v>
      </c>
      <c r="Q41" s="20">
        <v>2</v>
      </c>
    </row>
    <row r="42" spans="1:17" s="34" customFormat="1" ht="15.75">
      <c r="A42" s="29" t="s">
        <v>196</v>
      </c>
      <c r="B42" s="29" t="s">
        <v>25</v>
      </c>
      <c r="C42" s="87">
        <v>451</v>
      </c>
      <c r="D42" s="87">
        <v>446</v>
      </c>
      <c r="E42" s="29"/>
      <c r="F42" s="87">
        <v>424</v>
      </c>
      <c r="G42" s="29">
        <v>400</v>
      </c>
      <c r="H42" s="29">
        <v>411</v>
      </c>
      <c r="I42" s="87">
        <v>422</v>
      </c>
      <c r="J42" s="29"/>
      <c r="K42" s="29"/>
      <c r="L42" s="29"/>
      <c r="M42" s="29">
        <f t="shared" si="3"/>
        <v>2554</v>
      </c>
      <c r="N42" s="29">
        <v>6</v>
      </c>
      <c r="O42" s="29">
        <v>2</v>
      </c>
      <c r="P42" s="29">
        <f>M42-2495</f>
        <v>59</v>
      </c>
      <c r="Q42" s="29">
        <v>2</v>
      </c>
    </row>
    <row r="43" spans="1:17" s="25" customFormat="1" ht="15.75">
      <c r="A43" s="20" t="s">
        <v>197</v>
      </c>
      <c r="B43" s="20" t="s">
        <v>17</v>
      </c>
      <c r="C43" s="79">
        <v>445</v>
      </c>
      <c r="D43" s="20">
        <v>414</v>
      </c>
      <c r="E43" s="20"/>
      <c r="F43" s="20">
        <v>402</v>
      </c>
      <c r="G43" s="20">
        <v>390</v>
      </c>
      <c r="H43" s="20">
        <v>374</v>
      </c>
      <c r="I43" s="20">
        <v>414</v>
      </c>
      <c r="J43" s="20"/>
      <c r="K43" s="20"/>
      <c r="L43" s="20"/>
      <c r="M43" s="20">
        <f t="shared" si="3"/>
        <v>2439</v>
      </c>
      <c r="N43" s="20">
        <v>1</v>
      </c>
      <c r="O43" s="20">
        <v>7</v>
      </c>
      <c r="P43" s="20">
        <v>-121</v>
      </c>
      <c r="Q43" s="20">
        <v>0</v>
      </c>
    </row>
    <row r="44" spans="1:17" s="34" customFormat="1" ht="15.75">
      <c r="A44" s="29" t="s">
        <v>242</v>
      </c>
      <c r="B44" s="29" t="s">
        <v>15</v>
      </c>
      <c r="C44" s="87">
        <v>473</v>
      </c>
      <c r="D44" s="87">
        <v>462</v>
      </c>
      <c r="E44" s="29"/>
      <c r="F44" s="29">
        <v>395</v>
      </c>
      <c r="G44" s="29">
        <v>416</v>
      </c>
      <c r="H44" s="29">
        <v>411</v>
      </c>
      <c r="I44" s="29">
        <v>398</v>
      </c>
      <c r="J44" s="29"/>
      <c r="K44" s="29"/>
      <c r="L44" s="29"/>
      <c r="M44" s="29">
        <f t="shared" si="3"/>
        <v>2555</v>
      </c>
      <c r="N44" s="29">
        <v>2</v>
      </c>
      <c r="O44" s="29">
        <v>6</v>
      </c>
      <c r="P44" s="29">
        <f>M44-2662</f>
        <v>-107</v>
      </c>
      <c r="Q44" s="29">
        <v>0</v>
      </c>
    </row>
    <row r="45" spans="1:17" s="25" customFormat="1" ht="15.75">
      <c r="A45" s="20" t="s">
        <v>243</v>
      </c>
      <c r="B45" s="20" t="s">
        <v>16</v>
      </c>
      <c r="C45" s="79">
        <v>457</v>
      </c>
      <c r="D45" s="79">
        <v>440</v>
      </c>
      <c r="E45" s="20"/>
      <c r="F45" s="20">
        <v>398</v>
      </c>
      <c r="G45" s="20"/>
      <c r="H45" s="20">
        <v>392</v>
      </c>
      <c r="I45" s="20">
        <v>418</v>
      </c>
      <c r="J45" s="20"/>
      <c r="K45" s="20">
        <v>428</v>
      </c>
      <c r="L45" s="20"/>
      <c r="M45" s="20">
        <f t="shared" si="3"/>
        <v>2533</v>
      </c>
      <c r="N45" s="20">
        <v>2</v>
      </c>
      <c r="O45" s="20">
        <v>6</v>
      </c>
      <c r="P45" s="20">
        <v>-48</v>
      </c>
      <c r="Q45" s="20">
        <v>0</v>
      </c>
    </row>
    <row r="46" spans="1:17" s="25" customFormat="1" ht="15.75">
      <c r="A46" s="20" t="s">
        <v>244</v>
      </c>
      <c r="B46" s="20" t="s">
        <v>32</v>
      </c>
      <c r="C46" s="79">
        <v>441</v>
      </c>
      <c r="D46" s="79">
        <v>436</v>
      </c>
      <c r="E46" s="20"/>
      <c r="F46" s="79">
        <v>419</v>
      </c>
      <c r="G46" s="20">
        <v>361</v>
      </c>
      <c r="H46" s="79">
        <v>421</v>
      </c>
      <c r="I46" s="20">
        <v>412</v>
      </c>
      <c r="J46" s="20"/>
      <c r="K46" s="20"/>
      <c r="L46" s="20"/>
      <c r="M46" s="20">
        <f t="shared" si="3"/>
        <v>2490</v>
      </c>
      <c r="N46" s="20">
        <v>6</v>
      </c>
      <c r="O46" s="20">
        <v>2</v>
      </c>
      <c r="P46" s="20">
        <v>67</v>
      </c>
      <c r="Q46" s="20">
        <v>2</v>
      </c>
    </row>
    <row r="47" spans="1:17" s="34" customFormat="1" ht="16.5" thickBot="1">
      <c r="A47" s="29" t="s">
        <v>245</v>
      </c>
      <c r="B47" s="29" t="s">
        <v>28</v>
      </c>
      <c r="C47" s="87">
        <v>488</v>
      </c>
      <c r="D47" s="87">
        <v>443</v>
      </c>
      <c r="E47" s="29"/>
      <c r="F47" s="29">
        <v>389</v>
      </c>
      <c r="G47" s="29">
        <v>419</v>
      </c>
      <c r="H47" s="29">
        <v>412</v>
      </c>
      <c r="I47" s="87">
        <v>436</v>
      </c>
      <c r="J47" s="29"/>
      <c r="K47" s="29"/>
      <c r="L47" s="29"/>
      <c r="M47" s="29">
        <f t="shared" si="3"/>
        <v>2587</v>
      </c>
      <c r="N47" s="113">
        <v>3</v>
      </c>
      <c r="O47" s="113">
        <v>5</v>
      </c>
      <c r="P47" s="113">
        <v>-13</v>
      </c>
      <c r="Q47" s="113">
        <v>0</v>
      </c>
    </row>
    <row r="48" spans="3:17" ht="16.5" thickTop="1">
      <c r="C48" s="169">
        <f>SUM(C31:C47)</f>
        <v>7376</v>
      </c>
      <c r="D48" s="169">
        <f aca="true" t="shared" si="4" ref="D48:K48">SUM(D31:D47)</f>
        <v>7053</v>
      </c>
      <c r="E48" s="169"/>
      <c r="F48" s="169">
        <f t="shared" si="4"/>
        <v>5693</v>
      </c>
      <c r="G48" s="169">
        <f t="shared" si="4"/>
        <v>5239</v>
      </c>
      <c r="H48" s="169">
        <f t="shared" si="4"/>
        <v>6620</v>
      </c>
      <c r="I48" s="169">
        <f t="shared" si="4"/>
        <v>6741</v>
      </c>
      <c r="J48" s="169"/>
      <c r="K48" s="169">
        <f t="shared" si="4"/>
        <v>2170</v>
      </c>
      <c r="N48" s="1">
        <f>SUM(N31:N47)</f>
        <v>81</v>
      </c>
      <c r="O48" s="1">
        <f>SUM(O31:O47)</f>
        <v>47</v>
      </c>
      <c r="P48" s="1">
        <f>SUM(P31:P47)</f>
        <v>1037</v>
      </c>
      <c r="Q48" s="1">
        <f>SUM(Q31:Q47)</f>
        <v>24</v>
      </c>
    </row>
    <row r="50" spans="2:19" ht="31.5">
      <c r="B50" s="12" t="s">
        <v>152</v>
      </c>
      <c r="C50" s="17">
        <f>AVERAGE(C31:C47)</f>
        <v>461</v>
      </c>
      <c r="D50" s="17">
        <f aca="true" t="shared" si="5" ref="D50:K50">AVERAGE(D31:D47)</f>
        <v>440.8125</v>
      </c>
      <c r="E50" s="17"/>
      <c r="F50" s="17">
        <f t="shared" si="5"/>
        <v>406.64285714285717</v>
      </c>
      <c r="G50" s="17">
        <f t="shared" si="5"/>
        <v>403</v>
      </c>
      <c r="H50" s="17">
        <f t="shared" si="5"/>
        <v>413.75</v>
      </c>
      <c r="I50" s="17">
        <f t="shared" si="5"/>
        <v>421.3125</v>
      </c>
      <c r="J50" s="17"/>
      <c r="K50" s="17">
        <f t="shared" si="5"/>
        <v>434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40892</v>
      </c>
      <c r="N51" s="6">
        <f>SUM(N31:N47)</f>
        <v>81</v>
      </c>
      <c r="O51" s="6">
        <f>SUM(O31:O47)</f>
        <v>47</v>
      </c>
      <c r="P51" s="6">
        <f>SUM(P31:P47)</f>
        <v>1037</v>
      </c>
      <c r="Q51" s="6">
        <f>SUM(Q31:Q47)</f>
        <v>24</v>
      </c>
      <c r="S51" s="2">
        <f>N51-O51</f>
        <v>34</v>
      </c>
    </row>
    <row r="53" spans="13:14" ht="15.75">
      <c r="M53" s="1" t="s">
        <v>153</v>
      </c>
      <c r="N53" s="19">
        <f>M51/16</f>
        <v>2555.75</v>
      </c>
    </row>
  </sheetData>
  <mergeCells count="11">
    <mergeCell ref="C24:D24"/>
    <mergeCell ref="C25:D25"/>
    <mergeCell ref="C1:L1"/>
    <mergeCell ref="N1:O1"/>
    <mergeCell ref="C23:D23"/>
    <mergeCell ref="N21:O21"/>
    <mergeCell ref="N50:O50"/>
    <mergeCell ref="E28:F28"/>
    <mergeCell ref="I26:J26"/>
    <mergeCell ref="L26:M26"/>
    <mergeCell ref="L27:M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22">
      <selection activeCell="S51" sqref="S51"/>
    </sheetView>
  </sheetViews>
  <sheetFormatPr defaultColWidth="9.00390625" defaultRowHeight="12.75"/>
  <cols>
    <col min="1" max="2" width="11.75390625" style="1" bestFit="1" customWidth="1"/>
    <col min="3" max="9" width="9.125" style="1" customWidth="1"/>
    <col min="10" max="10" width="10.25390625" style="1" customWidth="1"/>
    <col min="11" max="11" width="11.37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2.25" thickBot="1">
      <c r="B2" s="3" t="s">
        <v>29</v>
      </c>
      <c r="C2" s="9" t="s">
        <v>86</v>
      </c>
      <c r="D2" s="9" t="s">
        <v>87</v>
      </c>
      <c r="E2" s="9" t="s">
        <v>88</v>
      </c>
      <c r="F2" s="9" t="s">
        <v>89</v>
      </c>
      <c r="G2" s="9" t="s">
        <v>90</v>
      </c>
      <c r="H2" s="9" t="s">
        <v>91</v>
      </c>
      <c r="I2" s="9" t="s">
        <v>119</v>
      </c>
      <c r="J2" s="9" t="s">
        <v>120</v>
      </c>
      <c r="K2" s="9" t="s">
        <v>161</v>
      </c>
      <c r="L2" s="9"/>
      <c r="M2" s="3" t="s">
        <v>35</v>
      </c>
      <c r="N2" s="3" t="s">
        <v>26</v>
      </c>
      <c r="O2" s="3" t="s">
        <v>34</v>
      </c>
      <c r="P2" s="3" t="s">
        <v>36</v>
      </c>
      <c r="Q2" s="11" t="s">
        <v>134</v>
      </c>
    </row>
    <row r="3" spans="1:17" s="25" customFormat="1" ht="15.75">
      <c r="A3" s="20" t="s">
        <v>0</v>
      </c>
      <c r="B3" s="20" t="s">
        <v>17</v>
      </c>
      <c r="C3" s="79">
        <v>426</v>
      </c>
      <c r="D3" s="37"/>
      <c r="E3" s="79">
        <v>432</v>
      </c>
      <c r="F3" s="37">
        <v>397</v>
      </c>
      <c r="G3" s="37"/>
      <c r="H3" s="37">
        <v>404</v>
      </c>
      <c r="I3" s="37">
        <v>408</v>
      </c>
      <c r="J3" s="37"/>
      <c r="K3" s="79">
        <v>425</v>
      </c>
      <c r="L3" s="22"/>
      <c r="M3" s="23">
        <f>SUM(C3:L3)</f>
        <v>2492</v>
      </c>
      <c r="N3" s="20">
        <v>3</v>
      </c>
      <c r="O3" s="20">
        <v>5</v>
      </c>
      <c r="P3" s="20">
        <v>-1</v>
      </c>
      <c r="Q3" s="20">
        <v>0</v>
      </c>
    </row>
    <row r="4" spans="1:17" s="34" customFormat="1" ht="15.75">
      <c r="A4" s="29" t="s">
        <v>1</v>
      </c>
      <c r="B4" s="29" t="s">
        <v>15</v>
      </c>
      <c r="C4" s="35">
        <v>404</v>
      </c>
      <c r="D4" s="35"/>
      <c r="E4" s="87">
        <v>445</v>
      </c>
      <c r="F4" s="35"/>
      <c r="G4" s="87">
        <v>433</v>
      </c>
      <c r="H4" s="35"/>
      <c r="I4" s="35">
        <v>409</v>
      </c>
      <c r="J4" s="87">
        <v>427</v>
      </c>
      <c r="K4" s="87">
        <v>452</v>
      </c>
      <c r="L4" s="31"/>
      <c r="M4" s="32">
        <f aca="true" t="shared" si="0" ref="M4:M19">SUM(C4:L4)</f>
        <v>2570</v>
      </c>
      <c r="N4" s="29">
        <v>6</v>
      </c>
      <c r="O4" s="29">
        <v>2</v>
      </c>
      <c r="P4" s="29">
        <f>2570-2525</f>
        <v>45</v>
      </c>
      <c r="Q4" s="29">
        <v>2</v>
      </c>
    </row>
    <row r="5" spans="1:17" s="25" customFormat="1" ht="15.75">
      <c r="A5" s="20" t="s">
        <v>2</v>
      </c>
      <c r="B5" s="20" t="s">
        <v>27</v>
      </c>
      <c r="C5" s="79">
        <v>451</v>
      </c>
      <c r="D5" s="37"/>
      <c r="E5" s="37"/>
      <c r="F5" s="37"/>
      <c r="G5" s="37">
        <v>417</v>
      </c>
      <c r="H5" s="79">
        <v>450</v>
      </c>
      <c r="I5" s="37">
        <v>412</v>
      </c>
      <c r="J5" s="37">
        <v>405</v>
      </c>
      <c r="K5" s="79">
        <v>427</v>
      </c>
      <c r="L5" s="22"/>
      <c r="M5" s="23">
        <f t="shared" si="0"/>
        <v>2562</v>
      </c>
      <c r="N5" s="20">
        <v>5</v>
      </c>
      <c r="O5" s="20">
        <v>3</v>
      </c>
      <c r="P5" s="20">
        <v>53</v>
      </c>
      <c r="Q5" s="20">
        <v>2</v>
      </c>
    </row>
    <row r="6" spans="1:17" s="34" customFormat="1" ht="15.75">
      <c r="A6" s="29" t="s">
        <v>3</v>
      </c>
      <c r="B6" s="29" t="s">
        <v>32</v>
      </c>
      <c r="C6" s="87">
        <v>459</v>
      </c>
      <c r="D6" s="35"/>
      <c r="E6" s="87">
        <v>425</v>
      </c>
      <c r="F6" s="35">
        <v>393</v>
      </c>
      <c r="G6" s="87">
        <v>420</v>
      </c>
      <c r="H6" s="35"/>
      <c r="I6" s="35">
        <v>408</v>
      </c>
      <c r="J6" s="87">
        <v>490</v>
      </c>
      <c r="K6" s="35"/>
      <c r="L6" s="31"/>
      <c r="M6" s="32">
        <f t="shared" si="0"/>
        <v>2595</v>
      </c>
      <c r="N6" s="29">
        <v>6</v>
      </c>
      <c r="O6" s="29">
        <v>2</v>
      </c>
      <c r="P6" s="32">
        <f>M6-2482</f>
        <v>113</v>
      </c>
      <c r="Q6" s="29">
        <v>2</v>
      </c>
    </row>
    <row r="7" spans="1:17" s="25" customFormat="1" ht="15.75">
      <c r="A7" s="20" t="s">
        <v>4</v>
      </c>
      <c r="B7" s="20" t="s">
        <v>28</v>
      </c>
      <c r="C7" s="37">
        <v>427</v>
      </c>
      <c r="D7" s="37"/>
      <c r="E7" s="79">
        <v>435</v>
      </c>
      <c r="F7" s="37"/>
      <c r="G7" s="79">
        <v>487</v>
      </c>
      <c r="H7" s="79">
        <v>438</v>
      </c>
      <c r="I7" s="37"/>
      <c r="J7" s="79">
        <v>441</v>
      </c>
      <c r="K7" s="37">
        <v>426</v>
      </c>
      <c r="L7" s="22"/>
      <c r="M7" s="23">
        <f t="shared" si="0"/>
        <v>2654</v>
      </c>
      <c r="N7" s="20">
        <v>6</v>
      </c>
      <c r="O7" s="20">
        <v>2</v>
      </c>
      <c r="P7" s="23">
        <f>M7-2478</f>
        <v>176</v>
      </c>
      <c r="Q7" s="20">
        <v>2</v>
      </c>
    </row>
    <row r="8" spans="1:17" s="34" customFormat="1" ht="15.75">
      <c r="A8" s="29" t="s">
        <v>5</v>
      </c>
      <c r="B8" s="29" t="s">
        <v>198</v>
      </c>
      <c r="C8" s="35"/>
      <c r="D8" s="87">
        <v>410</v>
      </c>
      <c r="E8" s="87">
        <v>438</v>
      </c>
      <c r="F8" s="87">
        <v>426</v>
      </c>
      <c r="G8" s="35">
        <v>386</v>
      </c>
      <c r="H8" s="87">
        <v>445</v>
      </c>
      <c r="I8" s="35">
        <v>408</v>
      </c>
      <c r="J8" s="35"/>
      <c r="K8" s="35"/>
      <c r="L8" s="31"/>
      <c r="M8" s="32">
        <f t="shared" si="0"/>
        <v>2513</v>
      </c>
      <c r="N8" s="29">
        <v>6</v>
      </c>
      <c r="O8" s="29">
        <v>2</v>
      </c>
      <c r="P8" s="29">
        <v>113</v>
      </c>
      <c r="Q8" s="29">
        <v>2</v>
      </c>
    </row>
    <row r="9" spans="1:17" s="25" customFormat="1" ht="15.75">
      <c r="A9" s="20" t="s">
        <v>6</v>
      </c>
      <c r="B9" s="20" t="s">
        <v>18</v>
      </c>
      <c r="C9" s="108">
        <v>417</v>
      </c>
      <c r="D9" s="37"/>
      <c r="E9" s="108">
        <v>432</v>
      </c>
      <c r="F9" s="21"/>
      <c r="G9" s="108">
        <v>413</v>
      </c>
      <c r="H9" s="21">
        <v>408</v>
      </c>
      <c r="I9" s="21"/>
      <c r="J9" s="108">
        <v>429</v>
      </c>
      <c r="K9" s="21">
        <v>410</v>
      </c>
      <c r="L9" s="22"/>
      <c r="M9" s="23">
        <f t="shared" si="0"/>
        <v>2509</v>
      </c>
      <c r="N9" s="20">
        <v>6</v>
      </c>
      <c r="O9" s="20">
        <v>2</v>
      </c>
      <c r="P9" s="20">
        <v>22</v>
      </c>
      <c r="Q9" s="20">
        <v>2</v>
      </c>
    </row>
    <row r="10" spans="1:17" s="25" customFormat="1" ht="15.75">
      <c r="A10" s="20" t="s">
        <v>7</v>
      </c>
      <c r="B10" s="20" t="s">
        <v>16</v>
      </c>
      <c r="C10" s="79">
        <v>409</v>
      </c>
      <c r="D10" s="37"/>
      <c r="E10" s="79">
        <v>434</v>
      </c>
      <c r="F10" s="37"/>
      <c r="G10" s="37"/>
      <c r="H10" s="79">
        <v>415</v>
      </c>
      <c r="I10" s="37">
        <v>401</v>
      </c>
      <c r="J10" s="37">
        <v>409</v>
      </c>
      <c r="K10" s="79">
        <v>467</v>
      </c>
      <c r="L10" s="22"/>
      <c r="M10" s="23">
        <f t="shared" si="0"/>
        <v>2535</v>
      </c>
      <c r="N10" s="20">
        <v>6</v>
      </c>
      <c r="O10" s="20">
        <v>2</v>
      </c>
      <c r="P10" s="23">
        <f>M10-2407</f>
        <v>128</v>
      </c>
      <c r="Q10" s="20">
        <v>2</v>
      </c>
    </row>
    <row r="11" spans="1:17" s="34" customFormat="1" ht="15.75">
      <c r="A11" s="29" t="s">
        <v>8</v>
      </c>
      <c r="B11" s="29" t="s">
        <v>20</v>
      </c>
      <c r="C11" s="35">
        <v>407</v>
      </c>
      <c r="D11" s="35"/>
      <c r="E11" s="87">
        <v>481</v>
      </c>
      <c r="F11" s="35"/>
      <c r="G11" s="87">
        <v>423</v>
      </c>
      <c r="H11" s="35">
        <v>402</v>
      </c>
      <c r="I11" s="35"/>
      <c r="J11" s="35">
        <v>401</v>
      </c>
      <c r="K11" s="87">
        <v>452</v>
      </c>
      <c r="L11" s="31"/>
      <c r="M11" s="32">
        <f t="shared" si="0"/>
        <v>2566</v>
      </c>
      <c r="N11" s="29">
        <v>5</v>
      </c>
      <c r="O11" s="29">
        <v>3</v>
      </c>
      <c r="P11" s="29">
        <v>35</v>
      </c>
      <c r="Q11" s="29">
        <v>2</v>
      </c>
    </row>
    <row r="12" spans="1:17" s="25" customFormat="1" ht="15.75">
      <c r="A12" s="20" t="s">
        <v>9</v>
      </c>
      <c r="B12" s="20" t="s">
        <v>22</v>
      </c>
      <c r="C12" s="37">
        <v>399</v>
      </c>
      <c r="D12" s="37"/>
      <c r="E12" s="37"/>
      <c r="F12" s="37">
        <v>386</v>
      </c>
      <c r="G12" s="79">
        <v>453</v>
      </c>
      <c r="H12" s="37"/>
      <c r="I12" s="79">
        <v>442</v>
      </c>
      <c r="J12" s="79">
        <v>434</v>
      </c>
      <c r="K12" s="79">
        <v>422</v>
      </c>
      <c r="L12" s="22"/>
      <c r="M12" s="23">
        <f t="shared" si="0"/>
        <v>2536</v>
      </c>
      <c r="N12" s="20">
        <v>6</v>
      </c>
      <c r="O12" s="20">
        <v>2</v>
      </c>
      <c r="P12" s="20">
        <v>23</v>
      </c>
      <c r="Q12" s="20">
        <v>2</v>
      </c>
    </row>
    <row r="13" spans="1:17" s="34" customFormat="1" ht="15.75">
      <c r="A13" s="29" t="s">
        <v>10</v>
      </c>
      <c r="B13" s="29" t="s">
        <v>30</v>
      </c>
      <c r="C13" s="35">
        <v>421</v>
      </c>
      <c r="D13" s="35"/>
      <c r="E13" s="87">
        <v>467</v>
      </c>
      <c r="F13" s="35"/>
      <c r="G13" s="87">
        <v>448</v>
      </c>
      <c r="H13" s="35">
        <v>427</v>
      </c>
      <c r="I13" s="35">
        <v>397</v>
      </c>
      <c r="J13" s="35"/>
      <c r="K13" s="87">
        <v>441</v>
      </c>
      <c r="L13" s="31"/>
      <c r="M13" s="32">
        <f t="shared" si="0"/>
        <v>2601</v>
      </c>
      <c r="N13" s="29">
        <v>5</v>
      </c>
      <c r="O13" s="29">
        <v>3</v>
      </c>
      <c r="P13" s="29">
        <v>8</v>
      </c>
      <c r="Q13" s="29">
        <v>2</v>
      </c>
    </row>
    <row r="14" spans="1:17" s="25" customFormat="1" ht="15.75">
      <c r="A14" s="20" t="s">
        <v>11</v>
      </c>
      <c r="B14" s="20" t="s">
        <v>19</v>
      </c>
      <c r="C14" s="37">
        <v>410</v>
      </c>
      <c r="D14" s="79">
        <v>434</v>
      </c>
      <c r="E14" s="79">
        <v>415</v>
      </c>
      <c r="F14" s="37">
        <v>383</v>
      </c>
      <c r="G14" s="37"/>
      <c r="H14" s="37"/>
      <c r="I14" s="37"/>
      <c r="J14" s="37">
        <v>407</v>
      </c>
      <c r="K14" s="79">
        <v>451</v>
      </c>
      <c r="L14" s="22"/>
      <c r="M14" s="23">
        <f t="shared" si="0"/>
        <v>2500</v>
      </c>
      <c r="N14" s="20">
        <v>5</v>
      </c>
      <c r="O14" s="20">
        <v>3</v>
      </c>
      <c r="P14" s="23">
        <v>15</v>
      </c>
      <c r="Q14" s="20">
        <v>2</v>
      </c>
    </row>
    <row r="15" spans="1:17" s="34" customFormat="1" ht="15.75">
      <c r="A15" s="29" t="s">
        <v>12</v>
      </c>
      <c r="B15" s="29" t="s">
        <v>24</v>
      </c>
      <c r="C15" s="35"/>
      <c r="D15" s="35"/>
      <c r="E15" s="87">
        <v>449</v>
      </c>
      <c r="F15" s="35">
        <v>404</v>
      </c>
      <c r="G15" s="35"/>
      <c r="H15" s="87">
        <v>443</v>
      </c>
      <c r="I15" s="35">
        <v>366</v>
      </c>
      <c r="J15" s="87">
        <v>427</v>
      </c>
      <c r="K15" s="87">
        <v>456</v>
      </c>
      <c r="L15" s="31"/>
      <c r="M15" s="32">
        <f t="shared" si="0"/>
        <v>2545</v>
      </c>
      <c r="N15" s="29">
        <v>6</v>
      </c>
      <c r="O15" s="29">
        <v>2</v>
      </c>
      <c r="P15" s="29">
        <v>265</v>
      </c>
      <c r="Q15" s="29">
        <v>2</v>
      </c>
    </row>
    <row r="16" spans="1:17" s="25" customFormat="1" ht="15.75">
      <c r="A16" s="20" t="s">
        <v>13</v>
      </c>
      <c r="B16" s="37" t="s">
        <v>199</v>
      </c>
      <c r="C16" s="37">
        <v>412</v>
      </c>
      <c r="D16" s="79">
        <v>417</v>
      </c>
      <c r="E16" s="37">
        <v>407</v>
      </c>
      <c r="F16" s="79">
        <v>419</v>
      </c>
      <c r="G16" s="37"/>
      <c r="H16" s="79">
        <v>232</v>
      </c>
      <c r="I16" s="79">
        <v>206</v>
      </c>
      <c r="J16" s="79">
        <v>419</v>
      </c>
      <c r="K16" s="37"/>
      <c r="L16" s="22"/>
      <c r="M16" s="23">
        <f t="shared" si="0"/>
        <v>2512</v>
      </c>
      <c r="N16" s="20">
        <v>6</v>
      </c>
      <c r="O16" s="20">
        <v>2</v>
      </c>
      <c r="P16" s="20">
        <v>81</v>
      </c>
      <c r="Q16" s="20">
        <v>2</v>
      </c>
    </row>
    <row r="17" spans="1:17" s="64" customFormat="1" ht="15.75">
      <c r="A17" s="63" t="s">
        <v>14</v>
      </c>
      <c r="B17" s="69" t="s">
        <v>23</v>
      </c>
      <c r="C17" s="69"/>
      <c r="D17" s="69"/>
      <c r="E17" s="69"/>
      <c r="F17" s="69"/>
      <c r="G17" s="69"/>
      <c r="H17" s="69"/>
      <c r="I17" s="69"/>
      <c r="J17" s="69"/>
      <c r="K17" s="69"/>
      <c r="L17" s="117"/>
      <c r="M17" s="71">
        <f t="shared" si="0"/>
        <v>0</v>
      </c>
      <c r="N17" s="63"/>
      <c r="O17" s="63"/>
      <c r="P17" s="63"/>
      <c r="Q17" s="63"/>
    </row>
    <row r="18" spans="1:17" s="25" customFormat="1" ht="15.75">
      <c r="A18" s="20" t="s">
        <v>234</v>
      </c>
      <c r="B18" s="37" t="s">
        <v>21</v>
      </c>
      <c r="C18" s="79">
        <v>418</v>
      </c>
      <c r="D18" s="37"/>
      <c r="E18" s="79">
        <v>449</v>
      </c>
      <c r="F18" s="37">
        <v>384</v>
      </c>
      <c r="G18" s="79">
        <v>433</v>
      </c>
      <c r="H18" s="37">
        <v>398</v>
      </c>
      <c r="I18" s="37"/>
      <c r="J18" s="37"/>
      <c r="K18" s="79">
        <v>421</v>
      </c>
      <c r="L18" s="22"/>
      <c r="M18" s="23">
        <f t="shared" si="0"/>
        <v>2503</v>
      </c>
      <c r="N18" s="20">
        <v>6</v>
      </c>
      <c r="O18" s="20">
        <v>2</v>
      </c>
      <c r="P18" s="23">
        <f>M18-2409</f>
        <v>94</v>
      </c>
      <c r="Q18" s="20">
        <v>2</v>
      </c>
    </row>
    <row r="19" spans="1:17" s="34" customFormat="1" ht="16.5" thickBot="1">
      <c r="A19" s="29" t="s">
        <v>235</v>
      </c>
      <c r="B19" s="29" t="s">
        <v>25</v>
      </c>
      <c r="C19" s="137">
        <v>427</v>
      </c>
      <c r="D19" s="113">
        <v>385</v>
      </c>
      <c r="E19" s="137">
        <v>434</v>
      </c>
      <c r="F19" s="113"/>
      <c r="G19" s="137">
        <v>460</v>
      </c>
      <c r="H19" s="113">
        <v>404</v>
      </c>
      <c r="I19" s="113"/>
      <c r="J19" s="113"/>
      <c r="K19" s="113">
        <v>417</v>
      </c>
      <c r="L19" s="114"/>
      <c r="M19" s="46">
        <f t="shared" si="0"/>
        <v>2527</v>
      </c>
      <c r="N19" s="43">
        <v>3</v>
      </c>
      <c r="O19" s="43">
        <v>5</v>
      </c>
      <c r="P19" s="43">
        <v>-44</v>
      </c>
      <c r="Q19" s="43">
        <v>0</v>
      </c>
    </row>
    <row r="20" spans="3:12" ht="16.5" thickTop="1">
      <c r="C20" s="6">
        <f aca="true" t="shared" si="1" ref="C20:L20">SUM(C3:C19)</f>
        <v>5887</v>
      </c>
      <c r="D20" s="6">
        <f>SUM(D3:D19)</f>
        <v>1646</v>
      </c>
      <c r="E20" s="6">
        <f>SUM(E3:E19)</f>
        <v>6143</v>
      </c>
      <c r="F20" s="6">
        <f t="shared" si="1"/>
        <v>3192</v>
      </c>
      <c r="G20" s="6">
        <f t="shared" si="1"/>
        <v>4773</v>
      </c>
      <c r="H20" s="6">
        <f t="shared" si="1"/>
        <v>4866</v>
      </c>
      <c r="I20" s="6">
        <f t="shared" si="1"/>
        <v>3857</v>
      </c>
      <c r="J20" s="6">
        <f t="shared" si="1"/>
        <v>4689</v>
      </c>
      <c r="K20" s="6">
        <f t="shared" si="1"/>
        <v>5667</v>
      </c>
      <c r="L20" s="6">
        <f t="shared" si="1"/>
        <v>0</v>
      </c>
    </row>
    <row r="21" spans="2:19" ht="33.75" customHeight="1">
      <c r="B21" s="12" t="s">
        <v>152</v>
      </c>
      <c r="C21" s="17">
        <f>AVERAGE(C3:C19)</f>
        <v>420.5</v>
      </c>
      <c r="D21" s="17">
        <f aca="true" t="shared" si="2" ref="D21:K21">AVERAGE(D3:D19)</f>
        <v>411.5</v>
      </c>
      <c r="E21" s="17">
        <f t="shared" si="2"/>
        <v>438.7857142857143</v>
      </c>
      <c r="F21" s="17">
        <f t="shared" si="2"/>
        <v>399</v>
      </c>
      <c r="G21" s="17">
        <f t="shared" si="2"/>
        <v>433.90909090909093</v>
      </c>
      <c r="H21" s="17">
        <f>H20/11.5</f>
        <v>423.1304347826087</v>
      </c>
      <c r="I21" s="17">
        <f>I20/9.5</f>
        <v>406</v>
      </c>
      <c r="J21" s="17">
        <f t="shared" si="2"/>
        <v>426.27272727272725</v>
      </c>
      <c r="K21" s="17">
        <f t="shared" si="2"/>
        <v>435.9230769230769</v>
      </c>
      <c r="L21" s="17"/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40720</v>
      </c>
      <c r="N22" s="1">
        <f>SUM(N3:N19)</f>
        <v>86</v>
      </c>
      <c r="O22" s="1">
        <f>SUM(O3:O19)</f>
        <v>42</v>
      </c>
      <c r="P22" s="1">
        <f>SUM(P3:P19)</f>
        <v>1126</v>
      </c>
      <c r="Q22" s="1">
        <f>SUM(Q3:Q19)</f>
        <v>28</v>
      </c>
      <c r="S22" s="2">
        <f>N22-O22</f>
        <v>44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M22/16</f>
        <v>2545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9:13" ht="15.75">
      <c r="I27" s="1">
        <f>N22+N48</f>
        <v>165</v>
      </c>
      <c r="J27" s="1">
        <f>O22+O48</f>
        <v>91</v>
      </c>
      <c r="K27" s="1">
        <f>Q22+Q48</f>
        <v>52</v>
      </c>
      <c r="L27" s="187">
        <f>I27-J27</f>
        <v>74</v>
      </c>
      <c r="M27" s="187"/>
    </row>
    <row r="28" spans="1:6" ht="15.75">
      <c r="A28" s="128" t="s">
        <v>169</v>
      </c>
      <c r="B28" s="132"/>
      <c r="C28" s="133" t="s">
        <v>175</v>
      </c>
      <c r="D28" s="129" t="s">
        <v>167</v>
      </c>
      <c r="E28" s="186" t="s">
        <v>168</v>
      </c>
      <c r="F28" s="186"/>
    </row>
    <row r="30" spans="2:17" ht="32.25" thickBot="1">
      <c r="B30" s="3" t="s">
        <v>29</v>
      </c>
      <c r="C30" s="9" t="s">
        <v>86</v>
      </c>
      <c r="D30" s="9" t="s">
        <v>87</v>
      </c>
      <c r="E30" s="9" t="s">
        <v>88</v>
      </c>
      <c r="F30" s="9" t="s">
        <v>89</v>
      </c>
      <c r="G30" s="9" t="s">
        <v>90</v>
      </c>
      <c r="H30" s="9" t="s">
        <v>91</v>
      </c>
      <c r="I30" s="9" t="s">
        <v>119</v>
      </c>
      <c r="J30" s="9" t="s">
        <v>120</v>
      </c>
      <c r="K30" s="9" t="s">
        <v>161</v>
      </c>
      <c r="L30" s="9"/>
      <c r="M30" s="3" t="s">
        <v>35</v>
      </c>
      <c r="N30" s="3" t="s">
        <v>26</v>
      </c>
      <c r="O30" s="3" t="s">
        <v>34</v>
      </c>
      <c r="P30" s="3" t="s">
        <v>36</v>
      </c>
      <c r="Q30" s="11" t="s">
        <v>134</v>
      </c>
    </row>
    <row r="31" spans="1:17" s="34" customFormat="1" ht="15.75">
      <c r="A31" s="29" t="s">
        <v>185</v>
      </c>
      <c r="B31" s="29" t="s">
        <v>17</v>
      </c>
      <c r="C31" s="87">
        <v>434</v>
      </c>
      <c r="D31" s="35"/>
      <c r="E31" s="87">
        <v>461</v>
      </c>
      <c r="F31" s="35"/>
      <c r="G31" s="35">
        <v>412</v>
      </c>
      <c r="H31" s="35">
        <v>416</v>
      </c>
      <c r="I31" s="35">
        <v>396</v>
      </c>
      <c r="J31" s="35"/>
      <c r="K31" s="87">
        <v>464</v>
      </c>
      <c r="L31" s="29"/>
      <c r="M31" s="29">
        <f>SUM(C31:L31)</f>
        <v>2583</v>
      </c>
      <c r="N31" s="29">
        <v>5</v>
      </c>
      <c r="O31" s="29">
        <v>3</v>
      </c>
      <c r="P31" s="29">
        <f>M31-2508</f>
        <v>75</v>
      </c>
      <c r="Q31" s="29">
        <v>2</v>
      </c>
    </row>
    <row r="32" spans="1:17" s="25" customFormat="1" ht="15.75">
      <c r="A32" s="20" t="s">
        <v>186</v>
      </c>
      <c r="B32" s="20" t="s">
        <v>15</v>
      </c>
      <c r="C32" s="79">
        <v>451</v>
      </c>
      <c r="D32" s="79">
        <v>443</v>
      </c>
      <c r="E32" s="37">
        <v>418</v>
      </c>
      <c r="F32" s="37"/>
      <c r="G32" s="79">
        <v>449</v>
      </c>
      <c r="H32" s="37">
        <v>403</v>
      </c>
      <c r="I32" s="37"/>
      <c r="J32" s="37"/>
      <c r="K32" s="79">
        <v>452</v>
      </c>
      <c r="L32" s="20"/>
      <c r="M32" s="20">
        <f>SUM(C32:L32)</f>
        <v>2616</v>
      </c>
      <c r="N32" s="20">
        <v>6</v>
      </c>
      <c r="O32" s="20">
        <v>2</v>
      </c>
      <c r="P32" s="20">
        <v>47</v>
      </c>
      <c r="Q32" s="20">
        <v>2</v>
      </c>
    </row>
    <row r="33" spans="1:17" s="34" customFormat="1" ht="15.75">
      <c r="A33" s="29" t="s">
        <v>187</v>
      </c>
      <c r="B33" s="29" t="s">
        <v>27</v>
      </c>
      <c r="C33" s="35">
        <v>428</v>
      </c>
      <c r="D33" s="35"/>
      <c r="E33" s="35">
        <v>425</v>
      </c>
      <c r="F33" s="35"/>
      <c r="G33" s="35">
        <v>415</v>
      </c>
      <c r="H33" s="35">
        <v>403</v>
      </c>
      <c r="I33" s="35">
        <v>416</v>
      </c>
      <c r="J33" s="35"/>
      <c r="K33" s="87">
        <v>430</v>
      </c>
      <c r="L33" s="29"/>
      <c r="M33" s="29">
        <f>SUM(C33:L33)</f>
        <v>2517</v>
      </c>
      <c r="N33" s="29">
        <v>1</v>
      </c>
      <c r="O33" s="29">
        <v>7</v>
      </c>
      <c r="P33" s="29">
        <v>-75</v>
      </c>
      <c r="Q33" s="29">
        <v>0</v>
      </c>
    </row>
    <row r="34" spans="1:17" s="25" customFormat="1" ht="15.75">
      <c r="A34" s="20" t="s">
        <v>188</v>
      </c>
      <c r="B34" s="20" t="s">
        <v>32</v>
      </c>
      <c r="C34" s="79">
        <v>448</v>
      </c>
      <c r="D34" s="37">
        <v>419</v>
      </c>
      <c r="E34" s="79">
        <v>425</v>
      </c>
      <c r="F34" s="37"/>
      <c r="G34" s="79">
        <v>442</v>
      </c>
      <c r="H34" s="37"/>
      <c r="I34" s="37">
        <v>358</v>
      </c>
      <c r="J34" s="37"/>
      <c r="K34" s="79">
        <v>431</v>
      </c>
      <c r="L34" s="20"/>
      <c r="M34" s="20">
        <f>SUM(C34:L34)</f>
        <v>2523</v>
      </c>
      <c r="N34" s="20">
        <v>6</v>
      </c>
      <c r="O34" s="20">
        <v>2</v>
      </c>
      <c r="P34" s="20">
        <v>82</v>
      </c>
      <c r="Q34" s="20">
        <v>2</v>
      </c>
    </row>
    <row r="35" spans="1:17" s="34" customFormat="1" ht="15.75">
      <c r="A35" s="29" t="s">
        <v>189</v>
      </c>
      <c r="B35" s="29" t="s">
        <v>28</v>
      </c>
      <c r="C35" s="87">
        <v>446</v>
      </c>
      <c r="D35" s="87">
        <v>431</v>
      </c>
      <c r="E35" s="35">
        <v>419</v>
      </c>
      <c r="F35" s="35"/>
      <c r="G35" s="87">
        <v>438</v>
      </c>
      <c r="H35" s="35">
        <v>424</v>
      </c>
      <c r="I35" s="35">
        <v>426</v>
      </c>
      <c r="J35" s="35"/>
      <c r="K35" s="35"/>
      <c r="L35" s="29"/>
      <c r="M35" s="29">
        <f>SUM(C35:L35)</f>
        <v>2584</v>
      </c>
      <c r="N35" s="29">
        <v>5</v>
      </c>
      <c r="O35" s="29">
        <v>3</v>
      </c>
      <c r="P35" s="29">
        <v>14</v>
      </c>
      <c r="Q35" s="29">
        <v>2</v>
      </c>
    </row>
    <row r="36" spans="1:17" s="25" customFormat="1" ht="15.75">
      <c r="A36" s="20" t="s">
        <v>190</v>
      </c>
      <c r="B36" s="20" t="s">
        <v>198</v>
      </c>
      <c r="C36" s="79">
        <v>406</v>
      </c>
      <c r="D36" s="79">
        <v>416</v>
      </c>
      <c r="E36" s="37"/>
      <c r="F36" s="37">
        <v>394</v>
      </c>
      <c r="G36" s="79">
        <v>440</v>
      </c>
      <c r="H36" s="79">
        <v>416</v>
      </c>
      <c r="I36" s="37">
        <v>358</v>
      </c>
      <c r="J36" s="37"/>
      <c r="K36" s="37"/>
      <c r="L36" s="20"/>
      <c r="M36" s="20">
        <f aca="true" t="shared" si="3" ref="M36:M46">SUM(C36:L36)</f>
        <v>2430</v>
      </c>
      <c r="N36" s="20">
        <v>6</v>
      </c>
      <c r="O36" s="20">
        <v>2</v>
      </c>
      <c r="P36" s="20">
        <v>104</v>
      </c>
      <c r="Q36" s="20">
        <v>2</v>
      </c>
    </row>
    <row r="37" spans="1:17" s="34" customFormat="1" ht="15.75">
      <c r="A37" s="29" t="s">
        <v>191</v>
      </c>
      <c r="B37" s="29" t="s">
        <v>18</v>
      </c>
      <c r="C37" s="35">
        <v>412</v>
      </c>
      <c r="D37" s="35">
        <v>402</v>
      </c>
      <c r="E37" s="87">
        <v>415</v>
      </c>
      <c r="F37" s="35"/>
      <c r="G37" s="87">
        <v>452</v>
      </c>
      <c r="H37" s="35"/>
      <c r="I37" s="35"/>
      <c r="J37" s="35">
        <v>394</v>
      </c>
      <c r="K37" s="87">
        <v>426</v>
      </c>
      <c r="L37" s="29"/>
      <c r="M37" s="29">
        <f t="shared" si="3"/>
        <v>2501</v>
      </c>
      <c r="N37" s="29">
        <v>5</v>
      </c>
      <c r="O37" s="29">
        <v>3</v>
      </c>
      <c r="P37" s="29">
        <v>120</v>
      </c>
      <c r="Q37" s="29">
        <v>2</v>
      </c>
    </row>
    <row r="38" spans="1:17" s="34" customFormat="1" ht="15.75">
      <c r="A38" s="29" t="s">
        <v>192</v>
      </c>
      <c r="B38" s="29" t="s">
        <v>16</v>
      </c>
      <c r="C38" s="35">
        <v>422</v>
      </c>
      <c r="D38" s="35">
        <v>417</v>
      </c>
      <c r="E38" s="87">
        <v>443</v>
      </c>
      <c r="F38" s="35"/>
      <c r="G38" s="87">
        <v>434</v>
      </c>
      <c r="H38" s="35">
        <v>428</v>
      </c>
      <c r="I38" s="35">
        <v>426</v>
      </c>
      <c r="J38" s="35"/>
      <c r="K38" s="35"/>
      <c r="L38" s="29"/>
      <c r="M38" s="29">
        <f t="shared" si="3"/>
        <v>2570</v>
      </c>
      <c r="N38" s="29">
        <v>2</v>
      </c>
      <c r="O38" s="29">
        <v>6</v>
      </c>
      <c r="P38" s="29">
        <v>-22</v>
      </c>
      <c r="Q38" s="29">
        <v>0</v>
      </c>
    </row>
    <row r="39" spans="1:17" s="25" customFormat="1" ht="15.75">
      <c r="A39" s="20" t="s">
        <v>193</v>
      </c>
      <c r="B39" s="20" t="s">
        <v>20</v>
      </c>
      <c r="C39" s="37">
        <v>411</v>
      </c>
      <c r="D39" s="37">
        <v>400</v>
      </c>
      <c r="E39" s="79">
        <v>423</v>
      </c>
      <c r="F39" s="37"/>
      <c r="G39" s="79">
        <v>419</v>
      </c>
      <c r="H39" s="37">
        <v>392</v>
      </c>
      <c r="I39" s="37"/>
      <c r="J39" s="37"/>
      <c r="K39" s="79">
        <v>449</v>
      </c>
      <c r="L39" s="20"/>
      <c r="M39" s="20">
        <f t="shared" si="3"/>
        <v>2494</v>
      </c>
      <c r="N39" s="20">
        <v>5</v>
      </c>
      <c r="O39" s="20">
        <v>3</v>
      </c>
      <c r="P39" s="20">
        <f>M39-2373</f>
        <v>121</v>
      </c>
      <c r="Q39" s="20">
        <v>2</v>
      </c>
    </row>
    <row r="40" spans="1:17" s="34" customFormat="1" ht="15.75">
      <c r="A40" s="29" t="s">
        <v>194</v>
      </c>
      <c r="B40" s="29" t="s">
        <v>22</v>
      </c>
      <c r="C40" s="87">
        <v>448</v>
      </c>
      <c r="D40" s="35"/>
      <c r="E40" s="35">
        <v>388</v>
      </c>
      <c r="F40" s="87">
        <v>408</v>
      </c>
      <c r="G40" s="87">
        <v>433</v>
      </c>
      <c r="H40" s="87">
        <v>457</v>
      </c>
      <c r="I40" s="35"/>
      <c r="J40" s="35"/>
      <c r="K40" s="87">
        <v>448</v>
      </c>
      <c r="L40" s="29"/>
      <c r="M40" s="29">
        <f t="shared" si="3"/>
        <v>2582</v>
      </c>
      <c r="N40" s="29">
        <v>7</v>
      </c>
      <c r="O40" s="29">
        <v>1</v>
      </c>
      <c r="P40" s="29">
        <v>171</v>
      </c>
      <c r="Q40" s="29">
        <v>2</v>
      </c>
    </row>
    <row r="41" spans="1:17" s="25" customFormat="1" ht="15.75">
      <c r="A41" s="20" t="s">
        <v>195</v>
      </c>
      <c r="B41" s="20" t="s">
        <v>30</v>
      </c>
      <c r="C41" s="20">
        <v>434</v>
      </c>
      <c r="D41" s="20">
        <v>405</v>
      </c>
      <c r="E41" s="79">
        <v>471</v>
      </c>
      <c r="F41" s="20"/>
      <c r="G41" s="20"/>
      <c r="H41" s="20">
        <v>406</v>
      </c>
      <c r="I41" s="20">
        <v>428</v>
      </c>
      <c r="J41" s="20"/>
      <c r="K41" s="79">
        <v>477</v>
      </c>
      <c r="L41" s="20"/>
      <c r="M41" s="20">
        <f t="shared" si="3"/>
        <v>2621</v>
      </c>
      <c r="N41" s="20">
        <v>2</v>
      </c>
      <c r="O41" s="20">
        <v>6</v>
      </c>
      <c r="P41" s="20">
        <v>-7</v>
      </c>
      <c r="Q41" s="20">
        <v>0</v>
      </c>
    </row>
    <row r="42" spans="1:17" s="34" customFormat="1" ht="15.75">
      <c r="A42" s="29" t="s">
        <v>196</v>
      </c>
      <c r="B42" s="29" t="s">
        <v>19</v>
      </c>
      <c r="C42" s="87">
        <v>461</v>
      </c>
      <c r="D42" s="87">
        <v>416</v>
      </c>
      <c r="E42" s="87">
        <v>430</v>
      </c>
      <c r="F42" s="29">
        <v>414</v>
      </c>
      <c r="G42" s="29"/>
      <c r="H42" s="29">
        <v>403</v>
      </c>
      <c r="I42" s="87">
        <v>416</v>
      </c>
      <c r="J42" s="29"/>
      <c r="K42" s="29"/>
      <c r="L42" s="29"/>
      <c r="M42" s="29">
        <f t="shared" si="3"/>
        <v>2540</v>
      </c>
      <c r="N42" s="29">
        <v>6</v>
      </c>
      <c r="O42" s="29">
        <v>2</v>
      </c>
      <c r="P42" s="29">
        <v>138</v>
      </c>
      <c r="Q42" s="29">
        <v>2</v>
      </c>
    </row>
    <row r="43" spans="1:17" s="25" customFormat="1" ht="15.75">
      <c r="A43" s="20" t="s">
        <v>197</v>
      </c>
      <c r="B43" s="20" t="s">
        <v>24</v>
      </c>
      <c r="C43" s="79">
        <v>435</v>
      </c>
      <c r="D43" s="79">
        <v>475</v>
      </c>
      <c r="E43" s="20"/>
      <c r="F43" s="79">
        <v>411</v>
      </c>
      <c r="G43" s="20"/>
      <c r="H43" s="79">
        <v>406</v>
      </c>
      <c r="I43" s="20">
        <v>404</v>
      </c>
      <c r="J43" s="20"/>
      <c r="K43" s="79">
        <v>409</v>
      </c>
      <c r="L43" s="20"/>
      <c r="M43" s="20">
        <f t="shared" si="3"/>
        <v>2540</v>
      </c>
      <c r="N43" s="20">
        <v>7</v>
      </c>
      <c r="O43" s="20">
        <v>1</v>
      </c>
      <c r="P43" s="20">
        <v>306</v>
      </c>
      <c r="Q43" s="20">
        <v>2</v>
      </c>
    </row>
    <row r="44" spans="1:17" s="34" customFormat="1" ht="15.75">
      <c r="A44" s="29" t="s">
        <v>242</v>
      </c>
      <c r="B44" s="35" t="s">
        <v>199</v>
      </c>
      <c r="C44" s="87">
        <v>433</v>
      </c>
      <c r="D44" s="29"/>
      <c r="E44" s="29"/>
      <c r="F44" s="87">
        <v>438</v>
      </c>
      <c r="G44" s="87">
        <v>446</v>
      </c>
      <c r="H44" s="87">
        <v>424</v>
      </c>
      <c r="I44" s="29">
        <v>395</v>
      </c>
      <c r="J44" s="29"/>
      <c r="K44" s="87">
        <v>442</v>
      </c>
      <c r="L44" s="29"/>
      <c r="M44" s="29">
        <f t="shared" si="3"/>
        <v>2578</v>
      </c>
      <c r="N44" s="29">
        <v>7</v>
      </c>
      <c r="O44" s="29">
        <v>1</v>
      </c>
      <c r="P44" s="29">
        <f>M44-2412</f>
        <v>166</v>
      </c>
      <c r="Q44" s="29">
        <v>2</v>
      </c>
    </row>
    <row r="45" spans="1:17" s="64" customFormat="1" ht="15.75">
      <c r="A45" s="63" t="s">
        <v>243</v>
      </c>
      <c r="B45" s="69" t="s">
        <v>23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>
        <f t="shared" si="3"/>
        <v>0</v>
      </c>
      <c r="N45" s="63"/>
      <c r="O45" s="63"/>
      <c r="P45" s="63"/>
      <c r="Q45" s="63"/>
    </row>
    <row r="46" spans="1:17" s="34" customFormat="1" ht="15.75">
      <c r="A46" s="29" t="s">
        <v>244</v>
      </c>
      <c r="B46" s="35" t="s">
        <v>21</v>
      </c>
      <c r="C46" s="29"/>
      <c r="D46" s="87">
        <v>431</v>
      </c>
      <c r="E46" s="87">
        <v>469</v>
      </c>
      <c r="F46" s="29">
        <v>415</v>
      </c>
      <c r="G46" s="87">
        <v>420</v>
      </c>
      <c r="H46" s="29"/>
      <c r="I46" s="29">
        <v>395</v>
      </c>
      <c r="J46" s="29"/>
      <c r="K46" s="87">
        <v>483</v>
      </c>
      <c r="L46" s="29"/>
      <c r="M46" s="29">
        <f t="shared" si="3"/>
        <v>2613</v>
      </c>
      <c r="N46" s="29">
        <v>6</v>
      </c>
      <c r="O46" s="29">
        <v>2</v>
      </c>
      <c r="P46" s="29">
        <f>M46-2493</f>
        <v>120</v>
      </c>
      <c r="Q46" s="29">
        <v>2</v>
      </c>
    </row>
    <row r="47" spans="1:17" s="25" customFormat="1" ht="16.5" thickBot="1">
      <c r="A47" s="20" t="s">
        <v>245</v>
      </c>
      <c r="B47" s="20" t="s">
        <v>25</v>
      </c>
      <c r="C47" s="20"/>
      <c r="D47" s="79">
        <v>428</v>
      </c>
      <c r="E47" s="20">
        <v>408</v>
      </c>
      <c r="F47" s="20">
        <v>414</v>
      </c>
      <c r="G47" s="79">
        <v>439</v>
      </c>
      <c r="H47" s="20">
        <v>412</v>
      </c>
      <c r="I47" s="20"/>
      <c r="J47" s="20"/>
      <c r="K47" s="79">
        <v>455</v>
      </c>
      <c r="L47" s="20"/>
      <c r="M47" s="20">
        <f>SUM(C47:L47)</f>
        <v>2556</v>
      </c>
      <c r="N47" s="28">
        <v>3</v>
      </c>
      <c r="O47" s="28">
        <v>5</v>
      </c>
      <c r="P47" s="28">
        <v>-20</v>
      </c>
      <c r="Q47" s="28">
        <v>0</v>
      </c>
    </row>
    <row r="48" spans="3:17" ht="16.5" thickTop="1">
      <c r="C48" s="169">
        <f>SUM(C31:C47)</f>
        <v>6069</v>
      </c>
      <c r="D48" s="169">
        <f aca="true" t="shared" si="4" ref="D48:K48">SUM(D31:D47)</f>
        <v>5083</v>
      </c>
      <c r="E48" s="169">
        <f t="shared" si="4"/>
        <v>5595</v>
      </c>
      <c r="F48" s="169">
        <f t="shared" si="4"/>
        <v>2894</v>
      </c>
      <c r="G48" s="169">
        <f t="shared" si="4"/>
        <v>5639</v>
      </c>
      <c r="H48" s="169">
        <f t="shared" si="4"/>
        <v>5390</v>
      </c>
      <c r="I48" s="169">
        <f t="shared" si="4"/>
        <v>4418</v>
      </c>
      <c r="J48" s="169">
        <f t="shared" si="4"/>
        <v>394</v>
      </c>
      <c r="K48" s="169">
        <f t="shared" si="4"/>
        <v>5366</v>
      </c>
      <c r="N48" s="1">
        <f>SUM(N31:N47)</f>
        <v>79</v>
      </c>
      <c r="O48" s="1">
        <f>SUM(O31:O47)</f>
        <v>49</v>
      </c>
      <c r="P48" s="1">
        <f>SUM(P31:P47)</f>
        <v>1340</v>
      </c>
      <c r="Q48" s="1">
        <f>SUM(Q31:Q47)</f>
        <v>24</v>
      </c>
    </row>
    <row r="50" spans="2:19" ht="31.5">
      <c r="B50" s="12" t="s">
        <v>152</v>
      </c>
      <c r="C50" s="17">
        <f>AVERAGE(C31:C47)</f>
        <v>433.5</v>
      </c>
      <c r="D50" s="17">
        <f aca="true" t="shared" si="5" ref="D50:K50">AVERAGE(D31:D47)</f>
        <v>423.5833333333333</v>
      </c>
      <c r="E50" s="17">
        <f t="shared" si="5"/>
        <v>430.38461538461536</v>
      </c>
      <c r="F50" s="17">
        <f t="shared" si="5"/>
        <v>413.42857142857144</v>
      </c>
      <c r="G50" s="17">
        <f t="shared" si="5"/>
        <v>433.7692307692308</v>
      </c>
      <c r="H50" s="17">
        <f t="shared" si="5"/>
        <v>414.61538461538464</v>
      </c>
      <c r="I50" s="17">
        <f t="shared" si="5"/>
        <v>401.6363636363636</v>
      </c>
      <c r="J50" s="17">
        <f t="shared" si="5"/>
        <v>394</v>
      </c>
      <c r="K50" s="17">
        <f t="shared" si="5"/>
        <v>447.1666666666667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40848</v>
      </c>
      <c r="N51" s="6">
        <f>SUM(N31:N47)</f>
        <v>79</v>
      </c>
      <c r="O51" s="6">
        <f>SUM(O31:O47)</f>
        <v>49</v>
      </c>
      <c r="P51" s="6">
        <f>SUM(P31:P47)</f>
        <v>1340</v>
      </c>
      <c r="Q51" s="6">
        <f>SUM(Q31:Q47)</f>
        <v>24</v>
      </c>
      <c r="S51" s="2">
        <f>N51-O51</f>
        <v>30</v>
      </c>
    </row>
    <row r="53" spans="13:14" ht="15.75">
      <c r="M53" s="1" t="s">
        <v>153</v>
      </c>
      <c r="N53" s="19">
        <f>M51/16</f>
        <v>2553</v>
      </c>
    </row>
  </sheetData>
  <mergeCells count="11">
    <mergeCell ref="C24:D24"/>
    <mergeCell ref="C1:L1"/>
    <mergeCell ref="N1:O1"/>
    <mergeCell ref="C23:D23"/>
    <mergeCell ref="N21:O21"/>
    <mergeCell ref="C25:D25"/>
    <mergeCell ref="L26:M26"/>
    <mergeCell ref="N50:O50"/>
    <mergeCell ref="E28:F28"/>
    <mergeCell ref="L27:M27"/>
    <mergeCell ref="I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19">
      <selection activeCell="E30" sqref="E30:E46"/>
    </sheetView>
  </sheetViews>
  <sheetFormatPr defaultColWidth="9.00390625" defaultRowHeight="12.75"/>
  <cols>
    <col min="1" max="1" width="11.25390625" style="1" bestFit="1" customWidth="1"/>
    <col min="2" max="2" width="11.75390625" style="1" bestFit="1" customWidth="1"/>
    <col min="3" max="6" width="9.125" style="1" customWidth="1"/>
    <col min="7" max="7" width="10.375" style="1" customWidth="1"/>
    <col min="8" max="8" width="9.75390625" style="1" customWidth="1"/>
    <col min="9" max="11" width="9.125" style="1" customWidth="1"/>
    <col min="12" max="12" width="11.625" style="1" bestFit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37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3"/>
      <c r="L1" s="3"/>
      <c r="N1" s="185" t="s">
        <v>33</v>
      </c>
      <c r="O1" s="185"/>
      <c r="R1" s="2"/>
      <c r="S1" s="2"/>
      <c r="T1" s="2"/>
    </row>
    <row r="2" spans="2:17" ht="32.25" thickBot="1">
      <c r="B2" s="3" t="s">
        <v>29</v>
      </c>
      <c r="C2" s="9" t="s">
        <v>123</v>
      </c>
      <c r="D2" s="9" t="s">
        <v>125</v>
      </c>
      <c r="E2" s="9" t="s">
        <v>127</v>
      </c>
      <c r="F2" s="9" t="s">
        <v>128</v>
      </c>
      <c r="G2" s="9" t="s">
        <v>216</v>
      </c>
      <c r="H2" s="9" t="s">
        <v>129</v>
      </c>
      <c r="I2" s="9" t="s">
        <v>162</v>
      </c>
      <c r="J2" s="9" t="s">
        <v>218</v>
      </c>
      <c r="K2" s="111" t="s">
        <v>126</v>
      </c>
      <c r="L2" s="9" t="s">
        <v>228</v>
      </c>
      <c r="M2" s="3" t="s">
        <v>35</v>
      </c>
      <c r="N2" s="3" t="s">
        <v>16</v>
      </c>
      <c r="O2" s="3" t="s">
        <v>34</v>
      </c>
      <c r="P2" s="3" t="s">
        <v>36</v>
      </c>
      <c r="Q2" s="11" t="s">
        <v>134</v>
      </c>
    </row>
    <row r="3" spans="1:17" s="34" customFormat="1" ht="15.75">
      <c r="A3" s="29" t="s">
        <v>0</v>
      </c>
      <c r="B3" s="29" t="s">
        <v>24</v>
      </c>
      <c r="C3" s="72">
        <v>366</v>
      </c>
      <c r="D3" s="80">
        <v>413</v>
      </c>
      <c r="E3" s="80">
        <v>412</v>
      </c>
      <c r="F3" s="80">
        <v>208</v>
      </c>
      <c r="G3" s="72">
        <v>388</v>
      </c>
      <c r="H3" s="72"/>
      <c r="I3" s="80">
        <v>448</v>
      </c>
      <c r="J3" s="80">
        <v>192</v>
      </c>
      <c r="K3" s="52"/>
      <c r="L3" s="44"/>
      <c r="M3" s="32">
        <f>SUM(C3:J3)</f>
        <v>2427</v>
      </c>
      <c r="N3" s="29">
        <v>6</v>
      </c>
      <c r="O3" s="29">
        <v>2</v>
      </c>
      <c r="P3" s="32">
        <f>M3-2310</f>
        <v>117</v>
      </c>
      <c r="Q3" s="29">
        <v>2</v>
      </c>
    </row>
    <row r="4" spans="1:17" s="25" customFormat="1" ht="15.75">
      <c r="A4" s="20" t="s">
        <v>1</v>
      </c>
      <c r="B4" s="20" t="s">
        <v>28</v>
      </c>
      <c r="C4" s="47">
        <v>408</v>
      </c>
      <c r="D4" s="73">
        <v>422</v>
      </c>
      <c r="E4" s="73">
        <v>486</v>
      </c>
      <c r="F4" s="47">
        <v>190</v>
      </c>
      <c r="G4" s="47"/>
      <c r="H4" s="73">
        <v>428</v>
      </c>
      <c r="I4" s="47"/>
      <c r="J4" s="49">
        <v>198</v>
      </c>
      <c r="K4" s="49"/>
      <c r="L4" s="39">
        <v>261</v>
      </c>
      <c r="M4" s="23">
        <f>SUM(C4:L4)</f>
        <v>2393</v>
      </c>
      <c r="N4" s="20">
        <v>3</v>
      </c>
      <c r="O4" s="20">
        <v>5</v>
      </c>
      <c r="P4" s="20">
        <v>-123</v>
      </c>
      <c r="Q4" s="20">
        <v>0</v>
      </c>
    </row>
    <row r="5" spans="1:17" s="25" customFormat="1" ht="15.75">
      <c r="A5" s="20" t="s">
        <v>2</v>
      </c>
      <c r="B5" s="20" t="s">
        <v>199</v>
      </c>
      <c r="C5" s="73">
        <v>405</v>
      </c>
      <c r="D5" s="47"/>
      <c r="E5" s="73">
        <v>421</v>
      </c>
      <c r="F5" s="47">
        <v>398</v>
      </c>
      <c r="G5" s="73">
        <v>436</v>
      </c>
      <c r="H5" s="73">
        <v>432</v>
      </c>
      <c r="I5" s="47"/>
      <c r="J5" s="77">
        <v>405</v>
      </c>
      <c r="K5" s="49"/>
      <c r="L5" s="76"/>
      <c r="M5" s="23">
        <f>SUM(C5:J5)</f>
        <v>2497</v>
      </c>
      <c r="N5" s="20">
        <v>7</v>
      </c>
      <c r="O5" s="20">
        <v>1</v>
      </c>
      <c r="P5" s="20">
        <v>208</v>
      </c>
      <c r="Q5" s="20">
        <v>2</v>
      </c>
    </row>
    <row r="6" spans="1:17" s="34" customFormat="1" ht="15.75">
      <c r="A6" s="29" t="s">
        <v>3</v>
      </c>
      <c r="B6" s="29" t="s">
        <v>198</v>
      </c>
      <c r="C6" s="74">
        <v>442</v>
      </c>
      <c r="D6" s="48">
        <v>380</v>
      </c>
      <c r="E6" s="74">
        <v>416</v>
      </c>
      <c r="F6" s="48">
        <v>376</v>
      </c>
      <c r="G6" s="48"/>
      <c r="H6" s="48"/>
      <c r="I6" s="48"/>
      <c r="J6" s="105">
        <v>413</v>
      </c>
      <c r="K6" s="52">
        <v>370</v>
      </c>
      <c r="L6" s="110"/>
      <c r="M6" s="32">
        <f>SUM(C6:K6)</f>
        <v>2397</v>
      </c>
      <c r="N6" s="29">
        <v>5</v>
      </c>
      <c r="O6" s="29">
        <v>3</v>
      </c>
      <c r="P6" s="29">
        <v>23</v>
      </c>
      <c r="Q6" s="29">
        <v>2</v>
      </c>
    </row>
    <row r="7" spans="1:17" s="64" customFormat="1" ht="15.75">
      <c r="A7" s="63" t="s">
        <v>4</v>
      </c>
      <c r="B7" s="63" t="s">
        <v>23</v>
      </c>
      <c r="C7" s="81"/>
      <c r="D7" s="81"/>
      <c r="E7" s="81"/>
      <c r="F7" s="81"/>
      <c r="G7" s="81"/>
      <c r="H7" s="81"/>
      <c r="I7" s="81"/>
      <c r="J7" s="82"/>
      <c r="K7" s="82"/>
      <c r="L7" s="83"/>
      <c r="M7" s="71">
        <f aca="true" t="shared" si="0" ref="M7:M18">SUM(C7:J7)</f>
        <v>0</v>
      </c>
      <c r="N7" s="63"/>
      <c r="O7" s="63"/>
      <c r="P7" s="63"/>
      <c r="Q7" s="63"/>
    </row>
    <row r="8" spans="1:17" s="34" customFormat="1" ht="15.75">
      <c r="A8" s="29" t="s">
        <v>5</v>
      </c>
      <c r="B8" s="29" t="s">
        <v>18</v>
      </c>
      <c r="C8" s="74">
        <v>441</v>
      </c>
      <c r="D8" s="48">
        <v>410</v>
      </c>
      <c r="E8" s="74">
        <v>442</v>
      </c>
      <c r="F8" s="74">
        <v>420</v>
      </c>
      <c r="G8" s="48">
        <v>417</v>
      </c>
      <c r="H8" s="48">
        <v>412</v>
      </c>
      <c r="I8" s="48"/>
      <c r="J8" s="52"/>
      <c r="K8" s="52"/>
      <c r="L8" s="44"/>
      <c r="M8" s="32">
        <f t="shared" si="0"/>
        <v>2542</v>
      </c>
      <c r="N8" s="29">
        <v>5</v>
      </c>
      <c r="O8" s="29">
        <v>3</v>
      </c>
      <c r="P8" s="29">
        <v>28</v>
      </c>
      <c r="Q8" s="29">
        <v>2</v>
      </c>
    </row>
    <row r="9" spans="1:17" s="25" customFormat="1" ht="15.75">
      <c r="A9" s="20" t="s">
        <v>6</v>
      </c>
      <c r="B9" s="20" t="s">
        <v>21</v>
      </c>
      <c r="C9" s="47">
        <v>412</v>
      </c>
      <c r="D9" s="73">
        <v>432</v>
      </c>
      <c r="E9" s="47">
        <v>419</v>
      </c>
      <c r="F9" s="47">
        <v>394</v>
      </c>
      <c r="G9" s="47"/>
      <c r="H9" s="73">
        <v>462</v>
      </c>
      <c r="I9" s="73">
        <v>429</v>
      </c>
      <c r="J9" s="49"/>
      <c r="K9" s="49"/>
      <c r="L9" s="39"/>
      <c r="M9" s="23">
        <f t="shared" si="0"/>
        <v>2548</v>
      </c>
      <c r="N9" s="20">
        <v>5</v>
      </c>
      <c r="O9" s="20">
        <v>3</v>
      </c>
      <c r="P9" s="20">
        <v>83</v>
      </c>
      <c r="Q9" s="20">
        <v>2</v>
      </c>
    </row>
    <row r="10" spans="1:17" s="34" customFormat="1" ht="15.75">
      <c r="A10" s="29" t="s">
        <v>7</v>
      </c>
      <c r="B10" s="29" t="s">
        <v>26</v>
      </c>
      <c r="C10" s="48">
        <v>368</v>
      </c>
      <c r="D10" s="48">
        <v>382</v>
      </c>
      <c r="E10" s="74">
        <v>441</v>
      </c>
      <c r="F10" s="48"/>
      <c r="G10" s="48">
        <v>396</v>
      </c>
      <c r="H10" s="48">
        <v>402</v>
      </c>
      <c r="I10" s="74">
        <v>418</v>
      </c>
      <c r="J10" s="52"/>
      <c r="K10" s="52"/>
      <c r="L10" s="44"/>
      <c r="M10" s="32">
        <f t="shared" si="0"/>
        <v>2407</v>
      </c>
      <c r="N10" s="29">
        <v>2</v>
      </c>
      <c r="O10" s="29">
        <v>6</v>
      </c>
      <c r="P10" s="29">
        <f>-128</f>
        <v>-128</v>
      </c>
      <c r="Q10" s="29">
        <v>0</v>
      </c>
    </row>
    <row r="11" spans="1:17" s="25" customFormat="1" ht="15.75">
      <c r="A11" s="20" t="s">
        <v>8</v>
      </c>
      <c r="B11" s="20" t="s">
        <v>25</v>
      </c>
      <c r="C11" s="47">
        <v>411</v>
      </c>
      <c r="D11" s="73">
        <v>458</v>
      </c>
      <c r="E11" s="47">
        <v>404</v>
      </c>
      <c r="F11" s="47">
        <v>379</v>
      </c>
      <c r="G11" s="47"/>
      <c r="H11" s="73">
        <v>428</v>
      </c>
      <c r="I11" s="73">
        <v>437</v>
      </c>
      <c r="J11" s="49"/>
      <c r="K11" s="49"/>
      <c r="L11" s="39"/>
      <c r="M11" s="23">
        <f t="shared" si="0"/>
        <v>2517</v>
      </c>
      <c r="N11" s="20">
        <v>5</v>
      </c>
      <c r="O11" s="20">
        <v>3</v>
      </c>
      <c r="P11" s="20">
        <v>31</v>
      </c>
      <c r="Q11" s="20">
        <v>2</v>
      </c>
    </row>
    <row r="12" spans="1:17" s="34" customFormat="1" ht="15.75">
      <c r="A12" s="29" t="s">
        <v>9</v>
      </c>
      <c r="B12" s="29" t="s">
        <v>20</v>
      </c>
      <c r="C12" s="48">
        <v>413</v>
      </c>
      <c r="D12" s="74">
        <v>440</v>
      </c>
      <c r="E12" s="74">
        <v>439</v>
      </c>
      <c r="F12" s="48">
        <v>364</v>
      </c>
      <c r="G12" s="48"/>
      <c r="H12" s="74">
        <v>439</v>
      </c>
      <c r="I12" s="74">
        <v>449</v>
      </c>
      <c r="J12" s="52"/>
      <c r="K12" s="52"/>
      <c r="L12" s="44"/>
      <c r="M12" s="32">
        <f t="shared" si="0"/>
        <v>2544</v>
      </c>
      <c r="N12" s="29">
        <v>4</v>
      </c>
      <c r="O12" s="29">
        <v>4</v>
      </c>
      <c r="P12" s="32">
        <f>M12-2630</f>
        <v>-86</v>
      </c>
      <c r="Q12" s="29">
        <v>1</v>
      </c>
    </row>
    <row r="13" spans="1:17" s="25" customFormat="1" ht="15.75">
      <c r="A13" s="20" t="s">
        <v>10</v>
      </c>
      <c r="B13" s="20" t="s">
        <v>17</v>
      </c>
      <c r="C13" s="47">
        <v>408</v>
      </c>
      <c r="D13" s="73">
        <v>427</v>
      </c>
      <c r="E13" s="73">
        <v>424</v>
      </c>
      <c r="F13" s="47"/>
      <c r="G13" s="47">
        <v>406</v>
      </c>
      <c r="H13" s="73">
        <v>457</v>
      </c>
      <c r="I13" s="73">
        <v>421</v>
      </c>
      <c r="J13" s="49"/>
      <c r="K13" s="49"/>
      <c r="L13" s="39"/>
      <c r="M13" s="23">
        <f t="shared" si="0"/>
        <v>2543</v>
      </c>
      <c r="N13" s="20">
        <v>6</v>
      </c>
      <c r="O13" s="20">
        <v>2</v>
      </c>
      <c r="P13" s="23">
        <f>M13-2496</f>
        <v>47</v>
      </c>
      <c r="Q13" s="20">
        <v>2</v>
      </c>
    </row>
    <row r="14" spans="1:17" s="34" customFormat="1" ht="15.75">
      <c r="A14" s="29" t="s">
        <v>11</v>
      </c>
      <c r="B14" s="29" t="s">
        <v>22</v>
      </c>
      <c r="C14" s="48">
        <v>404</v>
      </c>
      <c r="D14" s="48">
        <v>408</v>
      </c>
      <c r="E14" s="74">
        <v>416</v>
      </c>
      <c r="F14" s="74">
        <v>414</v>
      </c>
      <c r="G14" s="48"/>
      <c r="H14" s="74">
        <v>419</v>
      </c>
      <c r="I14" s="74">
        <v>430</v>
      </c>
      <c r="J14" s="52"/>
      <c r="K14" s="52"/>
      <c r="L14" s="44"/>
      <c r="M14" s="32">
        <f t="shared" si="0"/>
        <v>2491</v>
      </c>
      <c r="N14" s="29">
        <v>6</v>
      </c>
      <c r="O14" s="29">
        <v>2</v>
      </c>
      <c r="P14" s="32">
        <f>M14-2463</f>
        <v>28</v>
      </c>
      <c r="Q14" s="29">
        <v>2</v>
      </c>
    </row>
    <row r="15" spans="1:17" s="25" customFormat="1" ht="15.75">
      <c r="A15" s="20" t="s">
        <v>12</v>
      </c>
      <c r="B15" s="20" t="s">
        <v>15</v>
      </c>
      <c r="C15" s="47">
        <v>428</v>
      </c>
      <c r="D15" s="47">
        <v>429</v>
      </c>
      <c r="E15" s="73">
        <v>447</v>
      </c>
      <c r="F15" s="47"/>
      <c r="G15" s="73">
        <v>436</v>
      </c>
      <c r="H15" s="73">
        <v>457</v>
      </c>
      <c r="I15" s="47">
        <v>431</v>
      </c>
      <c r="J15" s="49"/>
      <c r="K15" s="49"/>
      <c r="L15" s="39"/>
      <c r="M15" s="23">
        <f t="shared" si="0"/>
        <v>2628</v>
      </c>
      <c r="N15" s="20">
        <v>5</v>
      </c>
      <c r="O15" s="20">
        <v>3</v>
      </c>
      <c r="P15" s="23">
        <v>13</v>
      </c>
      <c r="Q15" s="20">
        <v>2</v>
      </c>
    </row>
    <row r="16" spans="1:17" s="34" customFormat="1" ht="15.75">
      <c r="A16" s="29" t="s">
        <v>13</v>
      </c>
      <c r="B16" s="29" t="s">
        <v>30</v>
      </c>
      <c r="C16" s="48">
        <v>418</v>
      </c>
      <c r="D16" s="74">
        <v>461</v>
      </c>
      <c r="E16" s="74">
        <v>434</v>
      </c>
      <c r="F16" s="48"/>
      <c r="G16" s="48">
        <v>374</v>
      </c>
      <c r="H16" s="74">
        <v>457</v>
      </c>
      <c r="I16" s="74">
        <v>436</v>
      </c>
      <c r="J16" s="52"/>
      <c r="K16" s="52"/>
      <c r="L16" s="44"/>
      <c r="M16" s="32">
        <f t="shared" si="0"/>
        <v>2580</v>
      </c>
      <c r="N16" s="29">
        <v>4</v>
      </c>
      <c r="O16" s="29">
        <v>4</v>
      </c>
      <c r="P16" s="32">
        <v>-14</v>
      </c>
      <c r="Q16" s="29">
        <v>1</v>
      </c>
    </row>
    <row r="17" spans="1:17" s="25" customFormat="1" ht="15.75">
      <c r="A17" s="20" t="s">
        <v>14</v>
      </c>
      <c r="B17" s="20" t="s">
        <v>27</v>
      </c>
      <c r="C17" s="47">
        <v>417</v>
      </c>
      <c r="D17" s="73">
        <v>450</v>
      </c>
      <c r="E17" s="73">
        <v>451</v>
      </c>
      <c r="F17" s="47">
        <v>396</v>
      </c>
      <c r="G17" s="47"/>
      <c r="H17" s="47">
        <v>416</v>
      </c>
      <c r="I17" s="47">
        <v>396</v>
      </c>
      <c r="J17" s="49"/>
      <c r="K17" s="49"/>
      <c r="L17" s="39"/>
      <c r="M17" s="23">
        <f t="shared" si="0"/>
        <v>2526</v>
      </c>
      <c r="N17" s="20">
        <v>2</v>
      </c>
      <c r="O17" s="20">
        <v>6</v>
      </c>
      <c r="P17" s="23">
        <f>M17-2553</f>
        <v>-27</v>
      </c>
      <c r="Q17" s="20">
        <v>0</v>
      </c>
    </row>
    <row r="18" spans="1:17" s="34" customFormat="1" ht="15.75">
      <c r="A18" s="29" t="s">
        <v>234</v>
      </c>
      <c r="B18" s="29" t="s">
        <v>19</v>
      </c>
      <c r="C18" s="127">
        <v>399</v>
      </c>
      <c r="D18" s="127">
        <v>396</v>
      </c>
      <c r="E18" s="74">
        <v>421</v>
      </c>
      <c r="F18" s="127"/>
      <c r="G18" s="127"/>
      <c r="H18" s="74">
        <v>411</v>
      </c>
      <c r="I18" s="74">
        <v>423</v>
      </c>
      <c r="J18" s="105">
        <v>432</v>
      </c>
      <c r="K18" s="52"/>
      <c r="L18" s="44"/>
      <c r="M18" s="136">
        <f t="shared" si="0"/>
        <v>2482</v>
      </c>
      <c r="N18" s="127">
        <v>6</v>
      </c>
      <c r="O18" s="127">
        <v>2</v>
      </c>
      <c r="P18" s="127">
        <v>68</v>
      </c>
      <c r="Q18" s="127">
        <v>2</v>
      </c>
    </row>
    <row r="19" spans="1:17" s="25" customFormat="1" ht="16.5" thickBot="1">
      <c r="A19" s="20" t="s">
        <v>235</v>
      </c>
      <c r="B19" s="20" t="s">
        <v>32</v>
      </c>
      <c r="C19" s="135">
        <v>441</v>
      </c>
      <c r="D19" s="135">
        <v>430</v>
      </c>
      <c r="E19" s="135">
        <v>430</v>
      </c>
      <c r="F19" s="50"/>
      <c r="G19" s="50">
        <v>416</v>
      </c>
      <c r="H19" s="135">
        <v>421</v>
      </c>
      <c r="I19" s="135">
        <v>433</v>
      </c>
      <c r="J19" s="53"/>
      <c r="K19" s="53"/>
      <c r="L19" s="54"/>
      <c r="M19" s="27">
        <f>SUM(C19:J19)</f>
        <v>2571</v>
      </c>
      <c r="N19" s="43">
        <v>7</v>
      </c>
      <c r="O19" s="43">
        <v>1</v>
      </c>
      <c r="P19" s="46">
        <v>127</v>
      </c>
      <c r="Q19" s="43">
        <v>2</v>
      </c>
    </row>
    <row r="20" spans="3:12" ht="16.5" thickTop="1">
      <c r="C20" s="6">
        <f aca="true" t="shared" si="1" ref="C20:J20">SUM(C3:C19)</f>
        <v>6581</v>
      </c>
      <c r="D20" s="6">
        <f t="shared" si="1"/>
        <v>6338</v>
      </c>
      <c r="E20" s="6">
        <f t="shared" si="1"/>
        <v>6903</v>
      </c>
      <c r="F20" s="6">
        <f t="shared" si="1"/>
        <v>3539</v>
      </c>
      <c r="G20" s="6">
        <f t="shared" si="1"/>
        <v>3269</v>
      </c>
      <c r="H20" s="6">
        <f t="shared" si="1"/>
        <v>6041</v>
      </c>
      <c r="I20" s="6">
        <f t="shared" si="1"/>
        <v>5151</v>
      </c>
      <c r="J20" s="6">
        <f t="shared" si="1"/>
        <v>1640</v>
      </c>
      <c r="K20" s="6">
        <f>SUM(K3:K19)</f>
        <v>370</v>
      </c>
      <c r="L20" s="6">
        <f>SUM(L3:L19)</f>
        <v>261</v>
      </c>
    </row>
    <row r="21" spans="2:19" ht="33" customHeight="1">
      <c r="B21" s="12" t="s">
        <v>152</v>
      </c>
      <c r="C21" s="17">
        <f>AVERAGE(C3:C19)</f>
        <v>411.3125</v>
      </c>
      <c r="D21" s="17">
        <f aca="true" t="shared" si="2" ref="D21:I21">AVERAGE(D3:D19)</f>
        <v>422.53333333333336</v>
      </c>
      <c r="E21" s="17">
        <f t="shared" si="2"/>
        <v>431.4375</v>
      </c>
      <c r="F21" s="17">
        <f>F20/9</f>
        <v>393.22222222222223</v>
      </c>
      <c r="G21" s="17">
        <f t="shared" si="2"/>
        <v>408.625</v>
      </c>
      <c r="H21" s="17">
        <f t="shared" si="2"/>
        <v>431.5</v>
      </c>
      <c r="I21" s="17">
        <f t="shared" si="2"/>
        <v>429.25</v>
      </c>
      <c r="J21" s="17">
        <f>J20/4</f>
        <v>410</v>
      </c>
      <c r="K21" s="17">
        <f>AVERAGE(K3:K19)</f>
        <v>370</v>
      </c>
      <c r="L21" s="17">
        <f>AVERAGE(L3:L19)</f>
        <v>261</v>
      </c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40093</v>
      </c>
      <c r="N22" s="1">
        <f>SUM(N3:N19)</f>
        <v>78</v>
      </c>
      <c r="O22" s="1">
        <f>SUM(O3:O19)</f>
        <v>50</v>
      </c>
      <c r="P22" s="1">
        <f>SUM(P3:P19)</f>
        <v>395</v>
      </c>
      <c r="Q22" s="1">
        <f>SUM(Q3:Q19)</f>
        <v>24</v>
      </c>
      <c r="S22" s="2">
        <f>N22-O22</f>
        <v>28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M22/16</f>
        <v>2505.8125</v>
      </c>
    </row>
    <row r="25" spans="3:4" ht="15.75">
      <c r="C25" s="189" t="s">
        <v>158</v>
      </c>
      <c r="D25" s="189"/>
    </row>
    <row r="26" spans="9:14" ht="15.75">
      <c r="I26" s="184" t="s">
        <v>183</v>
      </c>
      <c r="J26" s="184"/>
      <c r="K26" s="12"/>
      <c r="L26" s="12" t="s">
        <v>184</v>
      </c>
      <c r="M26" s="184" t="s">
        <v>150</v>
      </c>
      <c r="N26" s="184"/>
    </row>
    <row r="27" spans="1:14" ht="15.75">
      <c r="A27" s="128" t="s">
        <v>169</v>
      </c>
      <c r="B27" s="129"/>
      <c r="C27" s="129" t="s">
        <v>176</v>
      </c>
      <c r="D27" s="129" t="s">
        <v>167</v>
      </c>
      <c r="E27" s="186" t="s">
        <v>172</v>
      </c>
      <c r="F27" s="186"/>
      <c r="I27" s="1">
        <f>N22+N48</f>
        <v>159</v>
      </c>
      <c r="J27" s="1">
        <f>O22+O48</f>
        <v>97</v>
      </c>
      <c r="L27" s="51">
        <f>Q22+Q48</f>
        <v>46</v>
      </c>
      <c r="M27" s="187">
        <f>I27-J27</f>
        <v>62</v>
      </c>
      <c r="N27" s="187"/>
    </row>
    <row r="28" ht="15.75">
      <c r="F28" s="57"/>
    </row>
    <row r="30" spans="2:17" ht="32.25" thickBot="1">
      <c r="B30" s="3" t="s">
        <v>29</v>
      </c>
      <c r="C30" s="9" t="s">
        <v>123</v>
      </c>
      <c r="D30" s="9" t="s">
        <v>125</v>
      </c>
      <c r="E30" s="9" t="s">
        <v>127</v>
      </c>
      <c r="F30" s="9" t="s">
        <v>128</v>
      </c>
      <c r="G30" s="9" t="s">
        <v>216</v>
      </c>
      <c r="H30" s="9" t="s">
        <v>129</v>
      </c>
      <c r="I30" s="9" t="s">
        <v>162</v>
      </c>
      <c r="J30" s="9" t="s">
        <v>218</v>
      </c>
      <c r="K30" s="111" t="s">
        <v>126</v>
      </c>
      <c r="L30" s="9" t="s">
        <v>228</v>
      </c>
      <c r="M30" s="3" t="s">
        <v>35</v>
      </c>
      <c r="N30" s="3" t="s">
        <v>16</v>
      </c>
      <c r="O30" s="3" t="s">
        <v>34</v>
      </c>
      <c r="P30" s="3" t="s">
        <v>36</v>
      </c>
      <c r="Q30" s="11" t="s">
        <v>134</v>
      </c>
    </row>
    <row r="31" spans="1:17" s="25" customFormat="1" ht="15.75">
      <c r="A31" s="20" t="s">
        <v>185</v>
      </c>
      <c r="B31" s="20" t="s">
        <v>24</v>
      </c>
      <c r="C31" s="47">
        <v>416</v>
      </c>
      <c r="D31" s="73">
        <v>435</v>
      </c>
      <c r="E31" s="47">
        <v>414</v>
      </c>
      <c r="F31" s="73">
        <v>434</v>
      </c>
      <c r="G31" s="47"/>
      <c r="H31" s="73">
        <v>449</v>
      </c>
      <c r="I31" s="73">
        <v>425</v>
      </c>
      <c r="J31" s="47"/>
      <c r="K31" s="47"/>
      <c r="L31" s="47"/>
      <c r="M31" s="20">
        <f>SUM(C31:J31)</f>
        <v>2573</v>
      </c>
      <c r="N31" s="20">
        <v>6</v>
      </c>
      <c r="O31" s="20">
        <v>2</v>
      </c>
      <c r="P31" s="20">
        <v>268</v>
      </c>
      <c r="Q31" s="20">
        <v>2</v>
      </c>
    </row>
    <row r="32" spans="1:17" s="34" customFormat="1" ht="15.75">
      <c r="A32" s="29" t="s">
        <v>186</v>
      </c>
      <c r="B32" s="29" t="s">
        <v>28</v>
      </c>
      <c r="C32" s="74">
        <v>436</v>
      </c>
      <c r="D32" s="74">
        <v>432</v>
      </c>
      <c r="E32" s="74">
        <v>448</v>
      </c>
      <c r="F32" s="48">
        <v>419</v>
      </c>
      <c r="G32" s="48"/>
      <c r="H32" s="74">
        <v>433</v>
      </c>
      <c r="I32" s="74">
        <v>424</v>
      </c>
      <c r="J32" s="48"/>
      <c r="K32" s="48"/>
      <c r="L32" s="48"/>
      <c r="M32" s="29">
        <f>SUM(C32:J32)</f>
        <v>2592</v>
      </c>
      <c r="N32" s="29">
        <v>7</v>
      </c>
      <c r="O32" s="29">
        <v>1</v>
      </c>
      <c r="P32" s="29">
        <v>87</v>
      </c>
      <c r="Q32" s="29">
        <v>2</v>
      </c>
    </row>
    <row r="33" spans="1:17" s="34" customFormat="1" ht="15.75">
      <c r="A33" s="29" t="s">
        <v>187</v>
      </c>
      <c r="B33" s="29" t="s">
        <v>199</v>
      </c>
      <c r="C33" s="74">
        <v>434</v>
      </c>
      <c r="D33" s="74">
        <v>460</v>
      </c>
      <c r="E33" s="74">
        <v>444</v>
      </c>
      <c r="F33" s="48"/>
      <c r="G33" s="48">
        <v>392</v>
      </c>
      <c r="H33" s="74">
        <v>442</v>
      </c>
      <c r="I33" s="74">
        <v>462</v>
      </c>
      <c r="J33" s="48"/>
      <c r="K33" s="48"/>
      <c r="L33" s="48"/>
      <c r="M33" s="29">
        <f>SUM(C33:J33)</f>
        <v>2634</v>
      </c>
      <c r="N33" s="29">
        <v>7</v>
      </c>
      <c r="O33" s="29">
        <v>1</v>
      </c>
      <c r="P33" s="29">
        <v>291</v>
      </c>
      <c r="Q33" s="29">
        <v>2</v>
      </c>
    </row>
    <row r="34" spans="1:17" s="25" customFormat="1" ht="15.75">
      <c r="A34" s="20" t="s">
        <v>188</v>
      </c>
      <c r="B34" s="20" t="s">
        <v>198</v>
      </c>
      <c r="C34" s="73">
        <v>449</v>
      </c>
      <c r="D34" s="73">
        <v>459</v>
      </c>
      <c r="E34" s="47"/>
      <c r="F34" s="47">
        <v>402</v>
      </c>
      <c r="G34" s="73">
        <v>440</v>
      </c>
      <c r="H34" s="73">
        <v>447</v>
      </c>
      <c r="I34" s="73">
        <v>437</v>
      </c>
      <c r="J34" s="47"/>
      <c r="K34" s="47"/>
      <c r="L34" s="47"/>
      <c r="M34" s="20">
        <f>SUM(C34:L34)</f>
        <v>2634</v>
      </c>
      <c r="N34" s="20">
        <v>7</v>
      </c>
      <c r="O34" s="20">
        <v>1</v>
      </c>
      <c r="P34" s="20">
        <v>282</v>
      </c>
      <c r="Q34" s="20">
        <v>2</v>
      </c>
    </row>
    <row r="35" spans="1:17" s="64" customFormat="1" ht="15.75">
      <c r="A35" s="63" t="s">
        <v>189</v>
      </c>
      <c r="B35" s="63" t="s">
        <v>23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63">
        <f>SUM(C35:L35)</f>
        <v>0</v>
      </c>
      <c r="N35" s="63"/>
      <c r="O35" s="63"/>
      <c r="P35" s="63"/>
      <c r="Q35" s="63"/>
    </row>
    <row r="36" spans="1:17" s="25" customFormat="1" ht="15.75">
      <c r="A36" s="20" t="s">
        <v>190</v>
      </c>
      <c r="B36" s="20" t="s">
        <v>18</v>
      </c>
      <c r="C36" s="73">
        <v>427</v>
      </c>
      <c r="D36" s="47">
        <v>425</v>
      </c>
      <c r="E36" s="73">
        <v>456</v>
      </c>
      <c r="F36" s="47">
        <v>388</v>
      </c>
      <c r="G36" s="47">
        <v>423</v>
      </c>
      <c r="H36" s="47"/>
      <c r="I36" s="73">
        <v>431</v>
      </c>
      <c r="J36" s="47"/>
      <c r="K36" s="47"/>
      <c r="L36" s="47"/>
      <c r="M36" s="20">
        <f aca="true" t="shared" si="3" ref="M36:M46">SUM(C36:L36)</f>
        <v>2550</v>
      </c>
      <c r="N36" s="20">
        <v>5</v>
      </c>
      <c r="O36" s="20">
        <v>3</v>
      </c>
      <c r="P36" s="20">
        <v>7</v>
      </c>
      <c r="Q36" s="20">
        <v>2</v>
      </c>
    </row>
    <row r="37" spans="1:17" s="34" customFormat="1" ht="15.75">
      <c r="A37" s="29" t="s">
        <v>191</v>
      </c>
      <c r="B37" s="29" t="s">
        <v>21</v>
      </c>
      <c r="C37" s="48">
        <v>401</v>
      </c>
      <c r="D37" s="74">
        <v>444</v>
      </c>
      <c r="E37" s="74">
        <v>424</v>
      </c>
      <c r="F37" s="48"/>
      <c r="G37" s="48">
        <v>404</v>
      </c>
      <c r="H37" s="48">
        <v>393</v>
      </c>
      <c r="I37" s="74">
        <v>430</v>
      </c>
      <c r="J37" s="48"/>
      <c r="K37" s="48"/>
      <c r="L37" s="48"/>
      <c r="M37" s="29">
        <f t="shared" si="3"/>
        <v>2496</v>
      </c>
      <c r="N37" s="29">
        <v>3</v>
      </c>
      <c r="O37" s="29">
        <v>5</v>
      </c>
      <c r="P37" s="29">
        <f>M37-2511</f>
        <v>-15</v>
      </c>
      <c r="Q37" s="29">
        <v>0</v>
      </c>
    </row>
    <row r="38" spans="1:17" s="25" customFormat="1" ht="15.75">
      <c r="A38" s="20" t="s">
        <v>192</v>
      </c>
      <c r="B38" s="20" t="s">
        <v>26</v>
      </c>
      <c r="C38" s="47">
        <v>408</v>
      </c>
      <c r="D38" s="47">
        <v>420</v>
      </c>
      <c r="E38" s="73">
        <v>438</v>
      </c>
      <c r="F38" s="47"/>
      <c r="G38" s="73">
        <v>432</v>
      </c>
      <c r="H38" s="73">
        <v>434</v>
      </c>
      <c r="I38" s="73">
        <v>460</v>
      </c>
      <c r="J38" s="47"/>
      <c r="K38" s="47"/>
      <c r="L38" s="47"/>
      <c r="M38" s="20">
        <f t="shared" si="3"/>
        <v>2592</v>
      </c>
      <c r="N38" s="20">
        <v>6</v>
      </c>
      <c r="O38" s="20">
        <v>2</v>
      </c>
      <c r="P38" s="20">
        <v>22</v>
      </c>
      <c r="Q38" s="20">
        <v>2</v>
      </c>
    </row>
    <row r="39" spans="1:17" s="34" customFormat="1" ht="15.75">
      <c r="A39" s="29" t="s">
        <v>193</v>
      </c>
      <c r="B39" s="29" t="s">
        <v>25</v>
      </c>
      <c r="C39" s="48">
        <v>393</v>
      </c>
      <c r="D39" s="74">
        <v>460</v>
      </c>
      <c r="E39" s="74">
        <v>442</v>
      </c>
      <c r="F39" s="48"/>
      <c r="G39" s="48">
        <v>429</v>
      </c>
      <c r="H39" s="48">
        <v>421</v>
      </c>
      <c r="I39" s="74">
        <v>446</v>
      </c>
      <c r="J39" s="48"/>
      <c r="K39" s="48"/>
      <c r="L39" s="48"/>
      <c r="M39" s="29">
        <f t="shared" si="3"/>
        <v>2591</v>
      </c>
      <c r="N39" s="29">
        <v>3</v>
      </c>
      <c r="O39" s="29">
        <v>5</v>
      </c>
      <c r="P39" s="29">
        <v>-15</v>
      </c>
      <c r="Q39" s="29">
        <v>0</v>
      </c>
    </row>
    <row r="40" spans="1:17" s="25" customFormat="1" ht="15.75">
      <c r="A40" s="20" t="s">
        <v>194</v>
      </c>
      <c r="B40" s="20" t="s">
        <v>20</v>
      </c>
      <c r="C40" s="47">
        <v>386</v>
      </c>
      <c r="D40" s="47">
        <v>419</v>
      </c>
      <c r="E40" s="73">
        <v>451</v>
      </c>
      <c r="F40" s="73">
        <v>428</v>
      </c>
      <c r="G40" s="47"/>
      <c r="H40" s="47">
        <v>421</v>
      </c>
      <c r="I40" s="73">
        <v>443</v>
      </c>
      <c r="J40" s="47"/>
      <c r="K40" s="47"/>
      <c r="L40" s="47"/>
      <c r="M40" s="20">
        <f t="shared" si="3"/>
        <v>2548</v>
      </c>
      <c r="N40" s="20">
        <v>5</v>
      </c>
      <c r="O40" s="20">
        <v>3</v>
      </c>
      <c r="P40" s="20">
        <v>66</v>
      </c>
      <c r="Q40" s="20">
        <v>2</v>
      </c>
    </row>
    <row r="41" spans="1:17" s="34" customFormat="1" ht="15.75">
      <c r="A41" s="29" t="s">
        <v>195</v>
      </c>
      <c r="B41" s="29" t="s">
        <v>17</v>
      </c>
      <c r="C41" s="127">
        <v>369</v>
      </c>
      <c r="D41" s="127">
        <v>406</v>
      </c>
      <c r="E41" s="74">
        <v>438</v>
      </c>
      <c r="F41" s="74">
        <v>415</v>
      </c>
      <c r="G41" s="127"/>
      <c r="H41" s="127">
        <v>410</v>
      </c>
      <c r="I41" s="74">
        <v>448</v>
      </c>
      <c r="J41" s="127"/>
      <c r="K41" s="127"/>
      <c r="L41" s="127"/>
      <c r="M41" s="29">
        <f t="shared" si="3"/>
        <v>2486</v>
      </c>
      <c r="N41" s="29">
        <v>3</v>
      </c>
      <c r="O41" s="29">
        <v>5</v>
      </c>
      <c r="P41" s="29">
        <v>-28</v>
      </c>
      <c r="Q41" s="29">
        <v>0</v>
      </c>
    </row>
    <row r="42" spans="1:17" s="25" customFormat="1" ht="15.75">
      <c r="A42" s="20" t="s">
        <v>196</v>
      </c>
      <c r="B42" s="20" t="s">
        <v>22</v>
      </c>
      <c r="C42" s="84"/>
      <c r="D42" s="73">
        <v>423</v>
      </c>
      <c r="E42" s="73">
        <v>431</v>
      </c>
      <c r="F42" s="84"/>
      <c r="G42" s="84">
        <v>408</v>
      </c>
      <c r="H42" s="73">
        <v>431</v>
      </c>
      <c r="I42" s="84">
        <v>412</v>
      </c>
      <c r="J42" s="73">
        <v>427</v>
      </c>
      <c r="K42" s="84"/>
      <c r="L42" s="84"/>
      <c r="M42" s="20">
        <f t="shared" si="3"/>
        <v>2532</v>
      </c>
      <c r="N42" s="20">
        <v>5</v>
      </c>
      <c r="O42" s="20">
        <v>3</v>
      </c>
      <c r="P42" s="20">
        <v>0</v>
      </c>
      <c r="Q42" s="20">
        <v>2</v>
      </c>
    </row>
    <row r="43" spans="1:17" s="34" customFormat="1" ht="15.75">
      <c r="A43" s="29" t="s">
        <v>197</v>
      </c>
      <c r="B43" s="29" t="s">
        <v>15</v>
      </c>
      <c r="C43" s="127">
        <v>404</v>
      </c>
      <c r="D43" s="127">
        <v>430</v>
      </c>
      <c r="E43" s="74">
        <v>446</v>
      </c>
      <c r="F43" s="127">
        <v>420</v>
      </c>
      <c r="G43" s="127"/>
      <c r="H43" s="74">
        <v>451</v>
      </c>
      <c r="I43" s="127">
        <v>433</v>
      </c>
      <c r="J43" s="127"/>
      <c r="K43" s="127"/>
      <c r="L43" s="127"/>
      <c r="M43" s="29">
        <f t="shared" si="3"/>
        <v>2584</v>
      </c>
      <c r="N43" s="29">
        <v>2</v>
      </c>
      <c r="O43" s="29">
        <v>6</v>
      </c>
      <c r="P43" s="29">
        <f>M43-2608</f>
        <v>-24</v>
      </c>
      <c r="Q43" s="29">
        <v>0</v>
      </c>
    </row>
    <row r="44" spans="1:17" s="25" customFormat="1" ht="15.75">
      <c r="A44" s="20" t="s">
        <v>242</v>
      </c>
      <c r="B44" s="20" t="s">
        <v>30</v>
      </c>
      <c r="C44" s="84"/>
      <c r="D44" s="84">
        <v>419</v>
      </c>
      <c r="E44" s="73">
        <v>424</v>
      </c>
      <c r="F44" s="84">
        <v>382</v>
      </c>
      <c r="G44" s="73">
        <v>450</v>
      </c>
      <c r="H44" s="73">
        <v>443</v>
      </c>
      <c r="I44" s="84"/>
      <c r="J44" s="84">
        <v>403</v>
      </c>
      <c r="K44" s="84"/>
      <c r="L44" s="84"/>
      <c r="M44" s="20">
        <f t="shared" si="3"/>
        <v>2521</v>
      </c>
      <c r="N44" s="20">
        <v>3</v>
      </c>
      <c r="O44" s="20">
        <v>5</v>
      </c>
      <c r="P44" s="20">
        <v>-41</v>
      </c>
      <c r="Q44" s="20">
        <v>0</v>
      </c>
    </row>
    <row r="45" spans="1:17" s="34" customFormat="1" ht="15.75">
      <c r="A45" s="29" t="s">
        <v>243</v>
      </c>
      <c r="B45" s="29" t="s">
        <v>27</v>
      </c>
      <c r="C45" s="127"/>
      <c r="D45" s="127">
        <v>411</v>
      </c>
      <c r="E45" s="74">
        <v>440</v>
      </c>
      <c r="F45" s="127"/>
      <c r="G45" s="74">
        <v>428</v>
      </c>
      <c r="H45" s="74">
        <v>448</v>
      </c>
      <c r="I45" s="74">
        <v>467</v>
      </c>
      <c r="J45" s="127">
        <v>387</v>
      </c>
      <c r="K45" s="127"/>
      <c r="L45" s="127"/>
      <c r="M45" s="29">
        <f t="shared" si="3"/>
        <v>2581</v>
      </c>
      <c r="N45" s="29">
        <v>6</v>
      </c>
      <c r="O45" s="29">
        <v>2</v>
      </c>
      <c r="P45" s="29">
        <v>48</v>
      </c>
      <c r="Q45" s="29">
        <v>2</v>
      </c>
    </row>
    <row r="46" spans="1:17" s="25" customFormat="1" ht="15.75">
      <c r="A46" s="20" t="s">
        <v>244</v>
      </c>
      <c r="B46" s="20" t="s">
        <v>19</v>
      </c>
      <c r="C46" s="84">
        <v>384</v>
      </c>
      <c r="D46" s="73">
        <v>428</v>
      </c>
      <c r="E46" s="73">
        <v>486</v>
      </c>
      <c r="F46" s="84"/>
      <c r="G46" s="84"/>
      <c r="H46" s="73">
        <v>427</v>
      </c>
      <c r="I46" s="73">
        <v>418</v>
      </c>
      <c r="J46" s="73">
        <v>413</v>
      </c>
      <c r="K46" s="84"/>
      <c r="L46" s="84"/>
      <c r="M46" s="20">
        <f t="shared" si="3"/>
        <v>2556</v>
      </c>
      <c r="N46" s="20">
        <v>7</v>
      </c>
      <c r="O46" s="20">
        <v>1</v>
      </c>
      <c r="P46" s="20">
        <v>243</v>
      </c>
      <c r="Q46" s="20">
        <v>2</v>
      </c>
    </row>
    <row r="47" spans="1:17" s="34" customFormat="1" ht="16.5" thickBot="1">
      <c r="A47" s="29" t="s">
        <v>245</v>
      </c>
      <c r="B47" s="29" t="s">
        <v>32</v>
      </c>
      <c r="C47" s="127"/>
      <c r="D47" s="74">
        <v>414</v>
      </c>
      <c r="E47" s="74">
        <v>437</v>
      </c>
      <c r="F47" s="127"/>
      <c r="G47" s="127">
        <v>396</v>
      </c>
      <c r="H47" s="127">
        <v>400</v>
      </c>
      <c r="I47" s="74">
        <v>452</v>
      </c>
      <c r="J47" s="74">
        <v>438</v>
      </c>
      <c r="K47" s="127"/>
      <c r="L47" s="127"/>
      <c r="M47" s="29">
        <f>SUM(C47:L47)</f>
        <v>2537</v>
      </c>
      <c r="N47" s="43">
        <v>6</v>
      </c>
      <c r="O47" s="43">
        <v>2</v>
      </c>
      <c r="P47" s="43">
        <f>M47-2432</f>
        <v>105</v>
      </c>
      <c r="Q47" s="43">
        <v>2</v>
      </c>
    </row>
    <row r="48" spans="3:17" ht="16.5" thickTop="1">
      <c r="C48" s="180">
        <f>SUM(C31:C47)</f>
        <v>4907</v>
      </c>
      <c r="D48" s="180">
        <f aca="true" t="shared" si="4" ref="D48:J48">SUM(D31:D47)</f>
        <v>6885</v>
      </c>
      <c r="E48" s="180">
        <f t="shared" si="4"/>
        <v>6619</v>
      </c>
      <c r="F48" s="180">
        <f t="shared" si="4"/>
        <v>3288</v>
      </c>
      <c r="G48" s="180">
        <f t="shared" si="4"/>
        <v>4202</v>
      </c>
      <c r="H48" s="180">
        <f t="shared" si="4"/>
        <v>6450</v>
      </c>
      <c r="I48" s="180">
        <f t="shared" si="4"/>
        <v>6588</v>
      </c>
      <c r="J48" s="180">
        <f t="shared" si="4"/>
        <v>2068</v>
      </c>
      <c r="K48" s="51"/>
      <c r="L48" s="51"/>
      <c r="N48" s="1">
        <f>SUM(N31:N47)</f>
        <v>81</v>
      </c>
      <c r="O48" s="1">
        <f>SUM(O31:O47)</f>
        <v>47</v>
      </c>
      <c r="P48" s="1">
        <f>SUM(P31:P47)</f>
        <v>1296</v>
      </c>
      <c r="Q48" s="1">
        <f>SUM(Q31:Q47)</f>
        <v>22</v>
      </c>
    </row>
    <row r="50" spans="2:19" ht="31.5">
      <c r="B50" s="12" t="s">
        <v>152</v>
      </c>
      <c r="C50" s="17">
        <f>AVERAGE(C31:C47)</f>
        <v>408.9166666666667</v>
      </c>
      <c r="D50" s="17">
        <f aca="true" t="shared" si="5" ref="D50:J50">AVERAGE(D31:D47)</f>
        <v>430.3125</v>
      </c>
      <c r="E50" s="17">
        <f t="shared" si="5"/>
        <v>441.26666666666665</v>
      </c>
      <c r="F50" s="17">
        <f t="shared" si="5"/>
        <v>411</v>
      </c>
      <c r="G50" s="17">
        <f t="shared" si="5"/>
        <v>420.2</v>
      </c>
      <c r="H50" s="17">
        <f t="shared" si="5"/>
        <v>430</v>
      </c>
      <c r="I50" s="17">
        <f t="shared" si="5"/>
        <v>439.2</v>
      </c>
      <c r="J50" s="17">
        <f t="shared" si="5"/>
        <v>413.6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41007</v>
      </c>
      <c r="N51" s="6">
        <f>SUM(N31:N47)</f>
        <v>81</v>
      </c>
      <c r="O51" s="6">
        <f>SUM(O31:O47)</f>
        <v>47</v>
      </c>
      <c r="P51" s="6">
        <f>SUM(P31:P47)</f>
        <v>1296</v>
      </c>
      <c r="Q51" s="6">
        <f>SUM(Q31:Q47)</f>
        <v>22</v>
      </c>
      <c r="S51" s="2">
        <f>N51-O51</f>
        <v>34</v>
      </c>
    </row>
    <row r="53" spans="13:14" ht="15.75">
      <c r="M53" s="1" t="s">
        <v>153</v>
      </c>
      <c r="N53" s="19">
        <f>M51/16</f>
        <v>2562.9375</v>
      </c>
    </row>
  </sheetData>
  <mergeCells count="11">
    <mergeCell ref="C24:D24"/>
    <mergeCell ref="C25:D25"/>
    <mergeCell ref="C1:J1"/>
    <mergeCell ref="N1:O1"/>
    <mergeCell ref="C23:D23"/>
    <mergeCell ref="N21:O21"/>
    <mergeCell ref="N50:O50"/>
    <mergeCell ref="E27:F27"/>
    <mergeCell ref="I26:J26"/>
    <mergeCell ref="M26:N26"/>
    <mergeCell ref="M27:N27"/>
  </mergeCells>
  <printOptions/>
  <pageMargins left="0.75" right="0.75" top="1" bottom="1" header="0.5" footer="0.5"/>
  <pageSetup horizontalDpi="600" verticalDpi="600" orientation="portrait" paperSize="9" r:id="rId1"/>
  <ignoredErrors>
    <ignoredError sqref="M4 M6 F21 J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workbookViewId="0" topLeftCell="A22">
      <selection activeCell="F56" sqref="F56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1.25390625" style="1" customWidth="1"/>
    <col min="4" max="4" width="14.75390625" style="1" customWidth="1"/>
    <col min="5" max="5" width="14.625" style="1" customWidth="1"/>
    <col min="6" max="6" width="9.125" style="1" customWidth="1"/>
    <col min="7" max="7" width="10.125" style="1" customWidth="1"/>
    <col min="8" max="8" width="9.125" style="1" customWidth="1"/>
    <col min="9" max="9" width="15.375" style="1" customWidth="1"/>
    <col min="10" max="10" width="12.875" style="1" customWidth="1"/>
    <col min="11" max="11" width="14.125" style="1" customWidth="1"/>
    <col min="12" max="12" width="9.6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8" max="18" width="9.125" style="2" customWidth="1"/>
    <col min="19" max="19" width="15.75390625" style="2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T1" s="2"/>
    </row>
    <row r="2" spans="2:17" ht="51.75" customHeight="1" thickBot="1">
      <c r="B2" s="3" t="s">
        <v>29</v>
      </c>
      <c r="C2" s="9" t="s">
        <v>38</v>
      </c>
      <c r="D2" s="9" t="s">
        <v>39</v>
      </c>
      <c r="E2" s="9" t="s">
        <v>40</v>
      </c>
      <c r="F2" s="9" t="s">
        <v>41</v>
      </c>
      <c r="G2" s="9" t="s">
        <v>42</v>
      </c>
      <c r="H2" s="9" t="s">
        <v>43</v>
      </c>
      <c r="I2" s="9" t="s">
        <v>44</v>
      </c>
      <c r="J2" s="75" t="s">
        <v>204</v>
      </c>
      <c r="K2" s="9" t="s">
        <v>229</v>
      </c>
      <c r="L2" s="75"/>
      <c r="M2" s="3" t="s">
        <v>35</v>
      </c>
      <c r="N2" s="3" t="s">
        <v>37</v>
      </c>
      <c r="O2" s="3" t="s">
        <v>34</v>
      </c>
      <c r="P2" s="3" t="s">
        <v>36</v>
      </c>
      <c r="Q2" s="11" t="s">
        <v>134</v>
      </c>
    </row>
    <row r="3" spans="1:19" s="34" customFormat="1" ht="15.75">
      <c r="A3" s="29" t="s">
        <v>0</v>
      </c>
      <c r="B3" s="29" t="s">
        <v>20</v>
      </c>
      <c r="C3" s="48"/>
      <c r="D3" s="48"/>
      <c r="E3" s="48">
        <v>415</v>
      </c>
      <c r="F3" s="48">
        <v>408</v>
      </c>
      <c r="G3" s="74">
        <v>423</v>
      </c>
      <c r="H3" s="74">
        <v>454</v>
      </c>
      <c r="I3" s="48">
        <v>407</v>
      </c>
      <c r="J3" s="74">
        <v>444</v>
      </c>
      <c r="K3" s="48"/>
      <c r="L3" s="44"/>
      <c r="M3" s="32">
        <f>SUM(C3:L3)</f>
        <v>2551</v>
      </c>
      <c r="N3" s="29">
        <v>5</v>
      </c>
      <c r="O3" s="29">
        <v>3</v>
      </c>
      <c r="P3" s="29">
        <v>61</v>
      </c>
      <c r="Q3" s="29">
        <v>2</v>
      </c>
      <c r="R3" s="33"/>
      <c r="S3" s="33"/>
    </row>
    <row r="4" spans="1:19" s="25" customFormat="1" ht="15.75">
      <c r="A4" s="20" t="s">
        <v>1</v>
      </c>
      <c r="B4" s="20" t="s">
        <v>22</v>
      </c>
      <c r="C4" s="73">
        <v>463</v>
      </c>
      <c r="D4" s="47">
        <v>425</v>
      </c>
      <c r="E4" s="47"/>
      <c r="F4" s="47">
        <v>416</v>
      </c>
      <c r="G4" s="47">
        <v>433</v>
      </c>
      <c r="H4" s="47">
        <v>420</v>
      </c>
      <c r="I4" s="47"/>
      <c r="J4" s="73">
        <v>440</v>
      </c>
      <c r="K4" s="47"/>
      <c r="L4" s="39"/>
      <c r="M4" s="23">
        <f aca="true" t="shared" si="0" ref="M4:M19">SUM(C4:L4)</f>
        <v>2597</v>
      </c>
      <c r="N4" s="20">
        <v>4</v>
      </c>
      <c r="O4" s="20">
        <v>4</v>
      </c>
      <c r="P4" s="20">
        <v>8</v>
      </c>
      <c r="Q4" s="20">
        <v>1</v>
      </c>
      <c r="R4" s="24"/>
      <c r="S4" s="24"/>
    </row>
    <row r="5" spans="1:19" s="34" customFormat="1" ht="15.75">
      <c r="A5" s="29" t="s">
        <v>2</v>
      </c>
      <c r="B5" s="29" t="s">
        <v>30</v>
      </c>
      <c r="C5" s="48"/>
      <c r="D5" s="48"/>
      <c r="E5" s="48">
        <v>408</v>
      </c>
      <c r="F5" s="48"/>
      <c r="G5" s="74">
        <v>427</v>
      </c>
      <c r="H5" s="74">
        <v>422</v>
      </c>
      <c r="I5" s="48">
        <v>399</v>
      </c>
      <c r="J5" s="48">
        <v>415</v>
      </c>
      <c r="K5" s="48">
        <v>417</v>
      </c>
      <c r="L5" s="44"/>
      <c r="M5" s="32">
        <f t="shared" si="0"/>
        <v>2488</v>
      </c>
      <c r="N5" s="29">
        <v>2</v>
      </c>
      <c r="O5" s="29">
        <v>6</v>
      </c>
      <c r="P5" s="32">
        <f>M5-2569</f>
        <v>-81</v>
      </c>
      <c r="Q5" s="29">
        <v>0</v>
      </c>
      <c r="R5" s="33"/>
      <c r="S5" s="33"/>
    </row>
    <row r="6" spans="1:19" s="25" customFormat="1" ht="15.75">
      <c r="A6" s="20" t="s">
        <v>3</v>
      </c>
      <c r="B6" s="20" t="s">
        <v>19</v>
      </c>
      <c r="C6" s="47"/>
      <c r="D6" s="47">
        <v>215</v>
      </c>
      <c r="E6" s="73">
        <v>398</v>
      </c>
      <c r="F6" s="47"/>
      <c r="G6" s="47">
        <v>394</v>
      </c>
      <c r="H6" s="73">
        <v>412</v>
      </c>
      <c r="I6" s="73">
        <v>414</v>
      </c>
      <c r="J6" s="73">
        <v>400</v>
      </c>
      <c r="K6" s="47">
        <v>165</v>
      </c>
      <c r="L6" s="39"/>
      <c r="M6" s="23">
        <f t="shared" si="0"/>
        <v>2398</v>
      </c>
      <c r="N6" s="20">
        <v>6</v>
      </c>
      <c r="O6" s="20">
        <v>2</v>
      </c>
      <c r="P6" s="20">
        <v>77</v>
      </c>
      <c r="Q6" s="20">
        <v>2</v>
      </c>
      <c r="R6" s="24"/>
      <c r="S6" s="24"/>
    </row>
    <row r="7" spans="1:19" s="34" customFormat="1" ht="15.75">
      <c r="A7" s="29" t="s">
        <v>4</v>
      </c>
      <c r="B7" s="29" t="s">
        <v>24</v>
      </c>
      <c r="C7" s="74">
        <v>432</v>
      </c>
      <c r="D7" s="74">
        <v>427</v>
      </c>
      <c r="E7" s="48"/>
      <c r="F7" s="48"/>
      <c r="G7" s="74">
        <v>429</v>
      </c>
      <c r="H7" s="74">
        <v>420</v>
      </c>
      <c r="I7" s="48">
        <v>372</v>
      </c>
      <c r="J7" s="48"/>
      <c r="K7" s="74">
        <v>401</v>
      </c>
      <c r="L7" s="44"/>
      <c r="M7" s="32">
        <f t="shared" si="0"/>
        <v>2481</v>
      </c>
      <c r="N7" s="29">
        <v>7</v>
      </c>
      <c r="O7" s="29">
        <v>1</v>
      </c>
      <c r="P7" s="32">
        <f>M7-2304</f>
        <v>177</v>
      </c>
      <c r="Q7" s="29">
        <v>2</v>
      </c>
      <c r="R7" s="33"/>
      <c r="S7" s="33"/>
    </row>
    <row r="8" spans="1:19" s="25" customFormat="1" ht="15.75">
      <c r="A8" s="20" t="s">
        <v>5</v>
      </c>
      <c r="B8" s="20" t="s">
        <v>199</v>
      </c>
      <c r="C8" s="77">
        <v>404</v>
      </c>
      <c r="D8" s="47"/>
      <c r="E8" s="47">
        <v>386</v>
      </c>
      <c r="F8" s="49"/>
      <c r="G8" s="77">
        <v>423</v>
      </c>
      <c r="H8" s="77">
        <v>389</v>
      </c>
      <c r="I8" s="77">
        <v>419</v>
      </c>
      <c r="J8" s="77">
        <v>407</v>
      </c>
      <c r="K8" s="49"/>
      <c r="L8" s="39"/>
      <c r="M8" s="23">
        <f t="shared" si="0"/>
        <v>2428</v>
      </c>
      <c r="N8" s="20">
        <v>7</v>
      </c>
      <c r="O8" s="20">
        <v>1</v>
      </c>
      <c r="P8" s="20">
        <v>274</v>
      </c>
      <c r="Q8" s="20">
        <v>2</v>
      </c>
      <c r="R8" s="24"/>
      <c r="S8" s="24"/>
    </row>
    <row r="9" spans="1:19" s="64" customFormat="1" ht="15.75">
      <c r="A9" s="63" t="s">
        <v>6</v>
      </c>
      <c r="B9" s="63" t="s">
        <v>23</v>
      </c>
      <c r="C9" s="81"/>
      <c r="D9" s="81"/>
      <c r="E9" s="81"/>
      <c r="F9" s="81"/>
      <c r="G9" s="81"/>
      <c r="H9" s="81"/>
      <c r="I9" s="81"/>
      <c r="J9" s="81"/>
      <c r="K9" s="81"/>
      <c r="L9" s="83"/>
      <c r="M9" s="71">
        <f t="shared" si="0"/>
        <v>0</v>
      </c>
      <c r="N9" s="63"/>
      <c r="O9" s="63"/>
      <c r="P9" s="63"/>
      <c r="Q9" s="63"/>
      <c r="R9" s="65"/>
      <c r="S9" s="65"/>
    </row>
    <row r="10" spans="1:19" s="25" customFormat="1" ht="15.75">
      <c r="A10" s="20" t="s">
        <v>7</v>
      </c>
      <c r="B10" s="20" t="s">
        <v>21</v>
      </c>
      <c r="C10" s="73">
        <v>443</v>
      </c>
      <c r="D10" s="73">
        <v>437</v>
      </c>
      <c r="E10" s="47">
        <v>423</v>
      </c>
      <c r="F10" s="47"/>
      <c r="G10" s="47">
        <v>419</v>
      </c>
      <c r="H10" s="47">
        <v>423</v>
      </c>
      <c r="I10" s="47"/>
      <c r="J10" s="47">
        <v>420</v>
      </c>
      <c r="K10" s="47"/>
      <c r="L10" s="39"/>
      <c r="M10" s="23">
        <f t="shared" si="0"/>
        <v>2565</v>
      </c>
      <c r="N10" s="20">
        <v>2</v>
      </c>
      <c r="O10" s="20">
        <v>6</v>
      </c>
      <c r="P10" s="20">
        <v>-9</v>
      </c>
      <c r="Q10" s="20">
        <v>0</v>
      </c>
      <c r="R10" s="24"/>
      <c r="S10" s="24"/>
    </row>
    <row r="11" spans="1:19" s="34" customFormat="1" ht="15.75">
      <c r="A11" s="29" t="s">
        <v>8</v>
      </c>
      <c r="B11" s="29" t="s">
        <v>16</v>
      </c>
      <c r="C11" s="74">
        <v>419</v>
      </c>
      <c r="D11" s="74">
        <v>422</v>
      </c>
      <c r="E11" s="48"/>
      <c r="F11" s="48"/>
      <c r="G11" s="48">
        <v>402</v>
      </c>
      <c r="H11" s="74">
        <v>425</v>
      </c>
      <c r="I11" s="48">
        <v>411</v>
      </c>
      <c r="J11" s="48"/>
      <c r="K11" s="48">
        <v>407</v>
      </c>
      <c r="L11" s="44"/>
      <c r="M11" s="32">
        <f t="shared" si="0"/>
        <v>2486</v>
      </c>
      <c r="N11" s="29">
        <v>3</v>
      </c>
      <c r="O11" s="29">
        <v>5</v>
      </c>
      <c r="P11" s="32">
        <f>M11-2517</f>
        <v>-31</v>
      </c>
      <c r="Q11" s="29">
        <v>0</v>
      </c>
      <c r="R11" s="33"/>
      <c r="S11" s="33"/>
    </row>
    <row r="12" spans="1:19" s="34" customFormat="1" ht="15.75">
      <c r="A12" s="29" t="s">
        <v>9</v>
      </c>
      <c r="B12" s="29" t="s">
        <v>17</v>
      </c>
      <c r="C12" s="48">
        <v>404</v>
      </c>
      <c r="D12" s="74">
        <v>478</v>
      </c>
      <c r="E12" s="48"/>
      <c r="F12" s="48">
        <v>409</v>
      </c>
      <c r="G12" s="48">
        <v>403</v>
      </c>
      <c r="H12" s="74">
        <v>441</v>
      </c>
      <c r="I12" s="48"/>
      <c r="J12" s="48"/>
      <c r="K12" s="74">
        <v>437</v>
      </c>
      <c r="L12" s="44"/>
      <c r="M12" s="32">
        <f>SUM(C12:L12)</f>
        <v>2572</v>
      </c>
      <c r="N12" s="29">
        <v>5</v>
      </c>
      <c r="O12" s="29">
        <v>3</v>
      </c>
      <c r="P12" s="29">
        <v>101</v>
      </c>
      <c r="Q12" s="29">
        <v>2</v>
      </c>
      <c r="R12" s="33"/>
      <c r="S12" s="33"/>
    </row>
    <row r="13" spans="1:19" s="25" customFormat="1" ht="15.75">
      <c r="A13" s="20" t="s">
        <v>10</v>
      </c>
      <c r="B13" s="20" t="s">
        <v>15</v>
      </c>
      <c r="C13" s="47"/>
      <c r="D13" s="73">
        <v>452</v>
      </c>
      <c r="E13" s="47">
        <v>425</v>
      </c>
      <c r="F13" s="73">
        <v>450</v>
      </c>
      <c r="G13" s="47"/>
      <c r="H13" s="47">
        <v>433</v>
      </c>
      <c r="I13" s="47">
        <v>444</v>
      </c>
      <c r="J13" s="47"/>
      <c r="K13" s="73">
        <v>465</v>
      </c>
      <c r="L13" s="39"/>
      <c r="M13" s="23">
        <f t="shared" si="0"/>
        <v>2669</v>
      </c>
      <c r="N13" s="20">
        <v>5</v>
      </c>
      <c r="O13" s="20">
        <v>3</v>
      </c>
      <c r="P13" s="20">
        <v>20</v>
      </c>
      <c r="Q13" s="20">
        <v>2</v>
      </c>
      <c r="R13" s="24"/>
      <c r="S13" s="24"/>
    </row>
    <row r="14" spans="1:19" s="34" customFormat="1" ht="15.75">
      <c r="A14" s="29" t="s">
        <v>11</v>
      </c>
      <c r="B14" s="35" t="s">
        <v>27</v>
      </c>
      <c r="C14" s="48"/>
      <c r="D14" s="48"/>
      <c r="E14" s="48">
        <v>408</v>
      </c>
      <c r="F14" s="74">
        <v>465</v>
      </c>
      <c r="G14" s="74">
        <v>458</v>
      </c>
      <c r="H14" s="48">
        <v>431</v>
      </c>
      <c r="I14" s="48">
        <v>422</v>
      </c>
      <c r="J14" s="48"/>
      <c r="K14" s="48">
        <v>393</v>
      </c>
      <c r="L14" s="44"/>
      <c r="M14" s="32">
        <f t="shared" si="0"/>
        <v>2577</v>
      </c>
      <c r="N14" s="29">
        <v>2</v>
      </c>
      <c r="O14" s="29">
        <v>6</v>
      </c>
      <c r="P14" s="32">
        <f>M14-2612</f>
        <v>-35</v>
      </c>
      <c r="Q14" s="29">
        <v>0</v>
      </c>
      <c r="R14" s="33"/>
      <c r="S14" s="33"/>
    </row>
    <row r="15" spans="1:19" s="25" customFormat="1" ht="15.75">
      <c r="A15" s="20" t="s">
        <v>12</v>
      </c>
      <c r="B15" s="20" t="s">
        <v>32</v>
      </c>
      <c r="C15" s="47"/>
      <c r="D15" s="73">
        <v>442</v>
      </c>
      <c r="E15" s="47"/>
      <c r="F15" s="73">
        <v>452</v>
      </c>
      <c r="G15" s="73">
        <v>439</v>
      </c>
      <c r="H15" s="47">
        <v>421</v>
      </c>
      <c r="I15" s="73">
        <v>439</v>
      </c>
      <c r="J15" s="73">
        <v>438</v>
      </c>
      <c r="K15" s="47"/>
      <c r="L15" s="39"/>
      <c r="M15" s="23">
        <f t="shared" si="0"/>
        <v>2631</v>
      </c>
      <c r="N15" s="20">
        <v>7</v>
      </c>
      <c r="O15" s="20">
        <v>1</v>
      </c>
      <c r="P15" s="23">
        <v>202</v>
      </c>
      <c r="Q15" s="20">
        <v>2</v>
      </c>
      <c r="R15" s="24"/>
      <c r="S15" s="24"/>
    </row>
    <row r="16" spans="1:19" s="34" customFormat="1" ht="15.75">
      <c r="A16" s="29" t="s">
        <v>13</v>
      </c>
      <c r="B16" s="29" t="s">
        <v>28</v>
      </c>
      <c r="C16" s="48">
        <v>426</v>
      </c>
      <c r="D16" s="74">
        <v>446</v>
      </c>
      <c r="E16" s="48"/>
      <c r="F16" s="74">
        <v>443</v>
      </c>
      <c r="G16" s="74">
        <v>451</v>
      </c>
      <c r="H16" s="48"/>
      <c r="I16" s="74">
        <v>451</v>
      </c>
      <c r="J16" s="48">
        <v>413</v>
      </c>
      <c r="K16" s="48"/>
      <c r="L16" s="44"/>
      <c r="M16" s="32">
        <f t="shared" si="0"/>
        <v>2630</v>
      </c>
      <c r="N16" s="29">
        <v>6</v>
      </c>
      <c r="O16" s="29">
        <v>2</v>
      </c>
      <c r="P16" s="32">
        <f>M16-2517</f>
        <v>113</v>
      </c>
      <c r="Q16" s="29">
        <v>2</v>
      </c>
      <c r="R16" s="33"/>
      <c r="S16" s="33"/>
    </row>
    <row r="17" spans="1:19" s="25" customFormat="1" ht="15.75">
      <c r="A17" s="20" t="s">
        <v>14</v>
      </c>
      <c r="B17" s="20" t="s">
        <v>198</v>
      </c>
      <c r="C17" s="73">
        <v>203</v>
      </c>
      <c r="D17" s="47"/>
      <c r="E17" s="47">
        <v>370</v>
      </c>
      <c r="F17" s="73">
        <v>445</v>
      </c>
      <c r="G17" s="73">
        <v>404</v>
      </c>
      <c r="H17" s="47"/>
      <c r="I17" s="73">
        <v>422</v>
      </c>
      <c r="J17" s="73">
        <v>407</v>
      </c>
      <c r="K17" s="73">
        <v>199</v>
      </c>
      <c r="L17" s="39"/>
      <c r="M17" s="23">
        <f t="shared" si="0"/>
        <v>2450</v>
      </c>
      <c r="N17" s="20">
        <v>7</v>
      </c>
      <c r="O17" s="20">
        <v>1</v>
      </c>
      <c r="P17" s="23">
        <v>155</v>
      </c>
      <c r="Q17" s="20">
        <v>2</v>
      </c>
      <c r="R17" s="24"/>
      <c r="S17" s="24"/>
    </row>
    <row r="18" spans="1:19" s="34" customFormat="1" ht="15.75">
      <c r="A18" s="29" t="s">
        <v>234</v>
      </c>
      <c r="B18" s="29" t="s">
        <v>18</v>
      </c>
      <c r="C18" s="48">
        <v>427</v>
      </c>
      <c r="D18" s="74">
        <v>436</v>
      </c>
      <c r="E18" s="48"/>
      <c r="F18" s="74">
        <v>444</v>
      </c>
      <c r="G18" s="74">
        <v>431</v>
      </c>
      <c r="H18" s="48"/>
      <c r="I18" s="74">
        <v>438</v>
      </c>
      <c r="J18" s="48">
        <v>389</v>
      </c>
      <c r="K18" s="48"/>
      <c r="L18" s="44"/>
      <c r="M18" s="32">
        <f t="shared" si="0"/>
        <v>2565</v>
      </c>
      <c r="N18" s="29">
        <v>6</v>
      </c>
      <c r="O18" s="29">
        <v>2</v>
      </c>
      <c r="P18" s="32">
        <f>M18-2493</f>
        <v>72</v>
      </c>
      <c r="Q18" s="29">
        <v>2</v>
      </c>
      <c r="R18" s="33"/>
      <c r="S18" s="33"/>
    </row>
    <row r="19" spans="1:19" s="25" customFormat="1" ht="16.5" thickBot="1">
      <c r="A19" s="20" t="s">
        <v>235</v>
      </c>
      <c r="B19" s="20" t="s">
        <v>26</v>
      </c>
      <c r="C19" s="53">
        <v>398</v>
      </c>
      <c r="D19" s="53"/>
      <c r="E19" s="53"/>
      <c r="F19" s="134">
        <v>477</v>
      </c>
      <c r="G19" s="53">
        <v>413</v>
      </c>
      <c r="H19" s="134">
        <v>439</v>
      </c>
      <c r="I19" s="53">
        <v>420</v>
      </c>
      <c r="J19" s="134">
        <v>424</v>
      </c>
      <c r="K19" s="53"/>
      <c r="L19" s="54"/>
      <c r="M19" s="27">
        <f t="shared" si="0"/>
        <v>2571</v>
      </c>
      <c r="N19" s="28">
        <v>5</v>
      </c>
      <c r="O19" s="28">
        <v>3</v>
      </c>
      <c r="P19" s="28">
        <v>44</v>
      </c>
      <c r="Q19" s="28">
        <v>2</v>
      </c>
      <c r="R19" s="24"/>
      <c r="S19" s="24"/>
    </row>
    <row r="20" spans="3:12" ht="16.5" thickTop="1">
      <c r="C20" s="6">
        <f>SUM(C3:C19)</f>
        <v>4019</v>
      </c>
      <c r="D20" s="6">
        <f>SUM(D3:D19)</f>
        <v>4180</v>
      </c>
      <c r="E20" s="6">
        <f>SUM(E3:E19)</f>
        <v>3233</v>
      </c>
      <c r="F20" s="6">
        <f>SUM(F3:F19)</f>
        <v>4409</v>
      </c>
      <c r="G20" s="6">
        <f aca="true" t="shared" si="1" ref="G20:L20">SUM(G3:G19)</f>
        <v>6349</v>
      </c>
      <c r="H20" s="6">
        <f t="shared" si="1"/>
        <v>5530</v>
      </c>
      <c r="I20" s="6">
        <f t="shared" si="1"/>
        <v>5458</v>
      </c>
      <c r="J20" s="6">
        <f t="shared" si="1"/>
        <v>4597</v>
      </c>
      <c r="K20" s="6">
        <f t="shared" si="1"/>
        <v>2884</v>
      </c>
      <c r="L20" s="6">
        <f t="shared" si="1"/>
        <v>0</v>
      </c>
    </row>
    <row r="21" spans="2:19" ht="30" customHeight="1">
      <c r="B21" s="12" t="s">
        <v>152</v>
      </c>
      <c r="C21" s="17">
        <f>C20/9.5</f>
        <v>423.05263157894734</v>
      </c>
      <c r="D21" s="17">
        <f>D20/9.5</f>
        <v>440</v>
      </c>
      <c r="E21" s="17">
        <f aca="true" t="shared" si="2" ref="E21:J21">AVERAGE(E3:E19)</f>
        <v>404.125</v>
      </c>
      <c r="F21" s="17">
        <f t="shared" si="2"/>
        <v>440.9</v>
      </c>
      <c r="G21" s="17">
        <f t="shared" si="2"/>
        <v>423.26666666666665</v>
      </c>
      <c r="H21" s="17">
        <f t="shared" si="2"/>
        <v>425.38461538461536</v>
      </c>
      <c r="I21" s="17">
        <f t="shared" si="2"/>
        <v>419.84615384615387</v>
      </c>
      <c r="J21" s="17">
        <f t="shared" si="2"/>
        <v>417.90909090909093</v>
      </c>
      <c r="K21" s="17">
        <f>K20/7</f>
        <v>412</v>
      </c>
      <c r="L21" s="17"/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40659</v>
      </c>
      <c r="N22" s="1">
        <f>SUM(N3:N19)</f>
        <v>79</v>
      </c>
      <c r="O22" s="1">
        <f>SUM(O3:O19)</f>
        <v>49</v>
      </c>
      <c r="P22" s="1">
        <f>SUM(P3:P19)</f>
        <v>1148</v>
      </c>
      <c r="Q22" s="1">
        <f>SUM(Q3:Q19)</f>
        <v>23</v>
      </c>
      <c r="S22" s="2">
        <f>N22-O22</f>
        <v>30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M22/16</f>
        <v>2541.1875</v>
      </c>
    </row>
    <row r="25" spans="3:4" ht="15.75">
      <c r="C25" s="189" t="s">
        <v>158</v>
      </c>
      <c r="D25" s="189"/>
    </row>
    <row r="26" spans="9:13" ht="15.75">
      <c r="I26" s="184" t="s">
        <v>183</v>
      </c>
      <c r="J26" s="184"/>
      <c r="K26" s="12" t="s">
        <v>184</v>
      </c>
      <c r="L26" s="184" t="s">
        <v>150</v>
      </c>
      <c r="M26" s="184"/>
    </row>
    <row r="27" spans="9:13" ht="15.75">
      <c r="I27" s="1">
        <f>N22+N49</f>
        <v>157</v>
      </c>
      <c r="J27" s="1">
        <f>O22+O49</f>
        <v>99</v>
      </c>
      <c r="K27" s="1">
        <f>Q22+Q49</f>
        <v>50</v>
      </c>
      <c r="L27" s="187">
        <f>I27-J27</f>
        <v>58</v>
      </c>
      <c r="M27" s="187"/>
    </row>
    <row r="28" spans="1:5" ht="15.75">
      <c r="A28" s="128" t="s">
        <v>169</v>
      </c>
      <c r="B28" s="129"/>
      <c r="C28" s="133" t="s">
        <v>173</v>
      </c>
      <c r="D28" s="129" t="s">
        <v>174</v>
      </c>
      <c r="E28" s="130" t="s">
        <v>172</v>
      </c>
    </row>
    <row r="29" spans="1:5" ht="15.75">
      <c r="A29" s="59"/>
      <c r="B29" s="57"/>
      <c r="C29" s="61"/>
      <c r="D29" s="57"/>
      <c r="E29" s="60"/>
    </row>
    <row r="30" spans="1:5" ht="15.75">
      <c r="A30" s="59"/>
      <c r="B30" s="57"/>
      <c r="C30" s="61"/>
      <c r="D30" s="57"/>
      <c r="E30" s="60"/>
    </row>
    <row r="31" spans="2:17" ht="32.25" customHeight="1" thickBot="1">
      <c r="B31" s="68" t="s">
        <v>29</v>
      </c>
      <c r="C31" s="9" t="s">
        <v>248</v>
      </c>
      <c r="D31" s="9" t="s">
        <v>39</v>
      </c>
      <c r="E31" s="9" t="s">
        <v>40</v>
      </c>
      <c r="F31" s="9" t="s">
        <v>41</v>
      </c>
      <c r="G31" s="9" t="s">
        <v>42</v>
      </c>
      <c r="H31" s="9" t="s">
        <v>43</v>
      </c>
      <c r="I31" s="9" t="s">
        <v>44</v>
      </c>
      <c r="J31" s="75" t="s">
        <v>204</v>
      </c>
      <c r="K31" s="9" t="s">
        <v>229</v>
      </c>
      <c r="L31" s="9" t="s">
        <v>252</v>
      </c>
      <c r="M31" s="3" t="s">
        <v>35</v>
      </c>
      <c r="N31" s="3" t="s">
        <v>37</v>
      </c>
      <c r="O31" s="3" t="s">
        <v>34</v>
      </c>
      <c r="P31" s="3" t="s">
        <v>36</v>
      </c>
      <c r="Q31" s="11" t="s">
        <v>134</v>
      </c>
    </row>
    <row r="32" spans="1:19" s="25" customFormat="1" ht="15.75">
      <c r="A32" s="20" t="s">
        <v>185</v>
      </c>
      <c r="B32" s="20" t="s">
        <v>20</v>
      </c>
      <c r="C32" s="37"/>
      <c r="D32" s="79">
        <v>448</v>
      </c>
      <c r="E32" s="37"/>
      <c r="F32" s="79">
        <v>466</v>
      </c>
      <c r="G32" s="37">
        <v>412</v>
      </c>
      <c r="H32" s="37">
        <v>397</v>
      </c>
      <c r="I32" s="79">
        <v>438</v>
      </c>
      <c r="J32" s="37">
        <v>401</v>
      </c>
      <c r="K32" s="37"/>
      <c r="L32" s="37"/>
      <c r="M32" s="20">
        <f>SUM(D32:K32)</f>
        <v>2562</v>
      </c>
      <c r="N32" s="20">
        <v>5</v>
      </c>
      <c r="O32" s="20">
        <v>3</v>
      </c>
      <c r="P32" s="20">
        <v>75</v>
      </c>
      <c r="Q32" s="20">
        <v>2</v>
      </c>
      <c r="R32" s="24"/>
      <c r="S32" s="24"/>
    </row>
    <row r="33" spans="1:19" s="34" customFormat="1" ht="15.75">
      <c r="A33" s="29" t="s">
        <v>186</v>
      </c>
      <c r="B33" s="29" t="s">
        <v>22</v>
      </c>
      <c r="C33" s="35"/>
      <c r="D33" s="35">
        <v>202</v>
      </c>
      <c r="E33" s="35">
        <v>209</v>
      </c>
      <c r="F33" s="87">
        <v>471</v>
      </c>
      <c r="G33" s="87">
        <v>448</v>
      </c>
      <c r="H33" s="35">
        <v>402</v>
      </c>
      <c r="I33" s="87">
        <v>464</v>
      </c>
      <c r="J33" s="35">
        <v>429</v>
      </c>
      <c r="K33" s="35"/>
      <c r="L33" s="35"/>
      <c r="M33" s="29">
        <f>SUM(C33:K33)</f>
        <v>2625</v>
      </c>
      <c r="N33" s="29">
        <v>5</v>
      </c>
      <c r="O33" s="29">
        <v>3</v>
      </c>
      <c r="P33" s="29">
        <f>M33-2576</f>
        <v>49</v>
      </c>
      <c r="Q33" s="29">
        <v>2</v>
      </c>
      <c r="R33" s="33"/>
      <c r="S33" s="33"/>
    </row>
    <row r="34" spans="1:19" s="25" customFormat="1" ht="15.75">
      <c r="A34" s="20" t="s">
        <v>187</v>
      </c>
      <c r="B34" s="20" t="s">
        <v>30</v>
      </c>
      <c r="C34" s="37"/>
      <c r="D34" s="79">
        <v>450</v>
      </c>
      <c r="E34" s="37"/>
      <c r="F34" s="79">
        <v>456</v>
      </c>
      <c r="G34" s="79">
        <v>446</v>
      </c>
      <c r="H34" s="37">
        <v>416</v>
      </c>
      <c r="I34" s="79">
        <v>452</v>
      </c>
      <c r="J34" s="37">
        <v>421</v>
      </c>
      <c r="K34" s="37"/>
      <c r="L34" s="37"/>
      <c r="M34" s="20">
        <f>SUM(C34:K34)</f>
        <v>2641</v>
      </c>
      <c r="N34" s="20">
        <v>6</v>
      </c>
      <c r="O34" s="20">
        <v>2</v>
      </c>
      <c r="P34" s="20">
        <v>112</v>
      </c>
      <c r="Q34" s="20">
        <v>2</v>
      </c>
      <c r="R34" s="24"/>
      <c r="S34" s="24"/>
    </row>
    <row r="35" spans="1:19" s="34" customFormat="1" ht="15.75">
      <c r="A35" s="29" t="s">
        <v>188</v>
      </c>
      <c r="B35" s="29" t="s">
        <v>19</v>
      </c>
      <c r="C35" s="87">
        <v>416</v>
      </c>
      <c r="D35" s="35"/>
      <c r="E35" s="35">
        <v>378</v>
      </c>
      <c r="F35" s="87">
        <v>414</v>
      </c>
      <c r="G35" s="35"/>
      <c r="H35" s="35">
        <v>406</v>
      </c>
      <c r="I35" s="87">
        <v>427</v>
      </c>
      <c r="J35" s="35">
        <v>410</v>
      </c>
      <c r="K35" s="35"/>
      <c r="L35" s="35"/>
      <c r="M35" s="29">
        <f>SUM(C35:K35)</f>
        <v>2451</v>
      </c>
      <c r="N35" s="29">
        <v>5</v>
      </c>
      <c r="O35" s="29">
        <v>3</v>
      </c>
      <c r="P35" s="29">
        <v>34</v>
      </c>
      <c r="Q35" s="29">
        <v>2</v>
      </c>
      <c r="R35" s="33"/>
      <c r="S35" s="33"/>
    </row>
    <row r="36" spans="1:19" s="25" customFormat="1" ht="15.75">
      <c r="A36" s="20" t="s">
        <v>189</v>
      </c>
      <c r="B36" s="20" t="s">
        <v>24</v>
      </c>
      <c r="C36" s="37">
        <v>392</v>
      </c>
      <c r="D36" s="37"/>
      <c r="E36" s="37">
        <v>387</v>
      </c>
      <c r="F36" s="79">
        <v>430</v>
      </c>
      <c r="G36" s="79">
        <v>434</v>
      </c>
      <c r="H36" s="79">
        <v>406</v>
      </c>
      <c r="I36" s="79">
        <v>419</v>
      </c>
      <c r="J36" s="37"/>
      <c r="K36" s="37"/>
      <c r="L36" s="37"/>
      <c r="M36" s="20">
        <f>SUM(C36:K36)</f>
        <v>2468</v>
      </c>
      <c r="N36" s="20">
        <v>6</v>
      </c>
      <c r="O36" s="20">
        <v>2</v>
      </c>
      <c r="P36" s="20">
        <v>138</v>
      </c>
      <c r="Q36" s="20">
        <v>2</v>
      </c>
      <c r="R36" s="24"/>
      <c r="S36" s="24"/>
    </row>
    <row r="37" spans="1:19" s="34" customFormat="1" ht="15.75">
      <c r="A37" s="29" t="s">
        <v>190</v>
      </c>
      <c r="B37" s="29" t="s">
        <v>199</v>
      </c>
      <c r="C37" s="35"/>
      <c r="D37" s="35">
        <v>390</v>
      </c>
      <c r="E37" s="35"/>
      <c r="F37" s="87">
        <v>465</v>
      </c>
      <c r="G37" s="35">
        <v>403</v>
      </c>
      <c r="H37" s="87">
        <v>423</v>
      </c>
      <c r="I37" s="87">
        <v>448</v>
      </c>
      <c r="J37" s="35">
        <v>403</v>
      </c>
      <c r="K37" s="35"/>
      <c r="L37" s="35"/>
      <c r="M37" s="29">
        <f aca="true" t="shared" si="3" ref="M37:M44">SUM(C37:K37)</f>
        <v>2532</v>
      </c>
      <c r="N37" s="29">
        <v>5</v>
      </c>
      <c r="O37" s="29">
        <v>3</v>
      </c>
      <c r="P37" s="29">
        <v>54</v>
      </c>
      <c r="Q37" s="29">
        <v>2</v>
      </c>
      <c r="R37" s="33"/>
      <c r="S37" s="33"/>
    </row>
    <row r="38" spans="1:19" s="64" customFormat="1" ht="15.75">
      <c r="A38" s="63" t="s">
        <v>191</v>
      </c>
      <c r="B38" s="63" t="s">
        <v>23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3">
        <f t="shared" si="3"/>
        <v>0</v>
      </c>
      <c r="N38" s="63"/>
      <c r="O38" s="63"/>
      <c r="P38" s="63"/>
      <c r="Q38" s="63"/>
      <c r="R38" s="65"/>
      <c r="S38" s="65"/>
    </row>
    <row r="39" spans="1:19" s="34" customFormat="1" ht="15.75">
      <c r="A39" s="29" t="s">
        <v>192</v>
      </c>
      <c r="B39" s="29" t="s">
        <v>21</v>
      </c>
      <c r="C39" s="35"/>
      <c r="D39" s="35"/>
      <c r="E39" s="35">
        <v>408</v>
      </c>
      <c r="F39" s="87">
        <v>440</v>
      </c>
      <c r="G39" s="87">
        <v>472</v>
      </c>
      <c r="H39" s="87">
        <v>443</v>
      </c>
      <c r="I39" s="35">
        <v>418</v>
      </c>
      <c r="J39" s="35">
        <v>419</v>
      </c>
      <c r="K39" s="35"/>
      <c r="L39" s="35"/>
      <c r="M39" s="29">
        <f>SUM(C39:L39)</f>
        <v>2600</v>
      </c>
      <c r="N39" s="29">
        <v>5</v>
      </c>
      <c r="O39" s="29">
        <v>3</v>
      </c>
      <c r="P39" s="29">
        <v>17</v>
      </c>
      <c r="Q39" s="29">
        <v>2</v>
      </c>
      <c r="R39" s="33"/>
      <c r="S39" s="33"/>
    </row>
    <row r="40" spans="1:19" s="25" customFormat="1" ht="15.75">
      <c r="A40" s="20" t="s">
        <v>193</v>
      </c>
      <c r="B40" s="20" t="s">
        <v>16</v>
      </c>
      <c r="C40" s="37"/>
      <c r="D40" s="79">
        <v>466</v>
      </c>
      <c r="E40" s="37"/>
      <c r="F40" s="37">
        <v>432</v>
      </c>
      <c r="G40" s="37">
        <v>407</v>
      </c>
      <c r="H40" s="79">
        <v>444</v>
      </c>
      <c r="I40" s="79">
        <v>436</v>
      </c>
      <c r="J40" s="37">
        <v>421</v>
      </c>
      <c r="K40" s="37"/>
      <c r="L40" s="37"/>
      <c r="M40" s="20">
        <f t="shared" si="3"/>
        <v>2606</v>
      </c>
      <c r="N40" s="20">
        <v>5</v>
      </c>
      <c r="O40" s="20">
        <v>3</v>
      </c>
      <c r="P40" s="20">
        <v>15</v>
      </c>
      <c r="Q40" s="20">
        <v>2</v>
      </c>
      <c r="R40" s="24"/>
      <c r="S40" s="24"/>
    </row>
    <row r="41" spans="1:19" s="25" customFormat="1" ht="15.75">
      <c r="A41" s="20" t="s">
        <v>194</v>
      </c>
      <c r="B41" s="20" t="s">
        <v>17</v>
      </c>
      <c r="C41" s="37">
        <v>204</v>
      </c>
      <c r="D41" s="37">
        <v>213</v>
      </c>
      <c r="E41" s="37"/>
      <c r="F41" s="79">
        <v>446</v>
      </c>
      <c r="G41" s="79">
        <v>417</v>
      </c>
      <c r="H41" s="79">
        <v>435</v>
      </c>
      <c r="I41" s="37">
        <v>397</v>
      </c>
      <c r="J41" s="79">
        <v>428</v>
      </c>
      <c r="K41" s="37"/>
      <c r="L41" s="37"/>
      <c r="M41" s="20">
        <f t="shared" si="3"/>
        <v>2540</v>
      </c>
      <c r="N41" s="20">
        <v>6</v>
      </c>
      <c r="O41" s="20">
        <v>2</v>
      </c>
      <c r="P41" s="20">
        <v>65</v>
      </c>
      <c r="Q41" s="20">
        <v>2</v>
      </c>
      <c r="R41" s="24"/>
      <c r="S41" s="24"/>
    </row>
    <row r="42" spans="1:19" s="34" customFormat="1" ht="15.75">
      <c r="A42" s="29" t="s">
        <v>195</v>
      </c>
      <c r="B42" s="29" t="s">
        <v>15</v>
      </c>
      <c r="C42" s="29"/>
      <c r="D42" s="87">
        <v>446</v>
      </c>
      <c r="E42" s="29"/>
      <c r="F42" s="29">
        <v>406</v>
      </c>
      <c r="G42" s="87">
        <v>464</v>
      </c>
      <c r="H42" s="29">
        <v>417</v>
      </c>
      <c r="I42" s="29">
        <v>399</v>
      </c>
      <c r="J42" s="87">
        <v>433</v>
      </c>
      <c r="K42" s="29"/>
      <c r="L42" s="29"/>
      <c r="M42" s="29">
        <f t="shared" si="3"/>
        <v>2565</v>
      </c>
      <c r="N42" s="29">
        <v>5</v>
      </c>
      <c r="O42" s="29">
        <v>3</v>
      </c>
      <c r="P42" s="29">
        <f>M42-2539</f>
        <v>26</v>
      </c>
      <c r="Q42" s="29">
        <v>2</v>
      </c>
      <c r="R42" s="33"/>
      <c r="S42" s="33"/>
    </row>
    <row r="43" spans="1:19" s="25" customFormat="1" ht="15.75">
      <c r="A43" s="20" t="s">
        <v>196</v>
      </c>
      <c r="B43" s="37" t="s">
        <v>27</v>
      </c>
      <c r="C43" s="20"/>
      <c r="D43" s="79">
        <v>446</v>
      </c>
      <c r="E43" s="20"/>
      <c r="F43" s="79">
        <v>421</v>
      </c>
      <c r="G43" s="20">
        <v>411</v>
      </c>
      <c r="H43" s="20">
        <v>399</v>
      </c>
      <c r="I43" s="20">
        <v>421</v>
      </c>
      <c r="J43" s="20">
        <v>397</v>
      </c>
      <c r="K43" s="20"/>
      <c r="L43" s="20"/>
      <c r="M43" s="20">
        <f t="shared" si="3"/>
        <v>2495</v>
      </c>
      <c r="N43" s="20">
        <v>2</v>
      </c>
      <c r="O43" s="20">
        <v>6</v>
      </c>
      <c r="P43" s="20">
        <v>-59</v>
      </c>
      <c r="Q43" s="20">
        <v>0</v>
      </c>
      <c r="R43" s="24"/>
      <c r="S43" s="24"/>
    </row>
    <row r="44" spans="1:19" s="34" customFormat="1" ht="15.75">
      <c r="A44" s="29" t="s">
        <v>197</v>
      </c>
      <c r="B44" s="29" t="s">
        <v>32</v>
      </c>
      <c r="C44" s="29"/>
      <c r="D44" s="29"/>
      <c r="E44" s="87">
        <v>424</v>
      </c>
      <c r="F44" s="87">
        <v>421</v>
      </c>
      <c r="G44" s="29">
        <v>413</v>
      </c>
      <c r="H44" s="29">
        <v>385</v>
      </c>
      <c r="I44" s="29">
        <v>411</v>
      </c>
      <c r="J44" s="29">
        <v>414</v>
      </c>
      <c r="K44" s="29"/>
      <c r="L44" s="29"/>
      <c r="M44" s="29">
        <f t="shared" si="3"/>
        <v>2468</v>
      </c>
      <c r="N44" s="29">
        <v>4</v>
      </c>
      <c r="O44" s="29">
        <v>4</v>
      </c>
      <c r="P44" s="29">
        <v>10</v>
      </c>
      <c r="Q44" s="29">
        <v>1</v>
      </c>
      <c r="R44" s="33"/>
      <c r="S44" s="33"/>
    </row>
    <row r="45" spans="1:19" s="25" customFormat="1" ht="15.75">
      <c r="A45" s="20" t="s">
        <v>242</v>
      </c>
      <c r="B45" s="20" t="s">
        <v>28</v>
      </c>
      <c r="C45" s="20">
        <v>201</v>
      </c>
      <c r="D45" s="20"/>
      <c r="E45" s="20">
        <v>403</v>
      </c>
      <c r="F45" s="79">
        <v>452</v>
      </c>
      <c r="G45" s="79">
        <v>438</v>
      </c>
      <c r="H45" s="20"/>
      <c r="I45" s="79">
        <v>446</v>
      </c>
      <c r="J45" s="20">
        <v>414</v>
      </c>
      <c r="K45" s="20"/>
      <c r="L45" s="20">
        <v>203</v>
      </c>
      <c r="M45" s="20">
        <f>SUM(C45:L45)</f>
        <v>2557</v>
      </c>
      <c r="N45" s="20">
        <v>5</v>
      </c>
      <c r="O45" s="20">
        <v>3</v>
      </c>
      <c r="P45" s="20">
        <v>25</v>
      </c>
      <c r="Q45" s="20">
        <v>2</v>
      </c>
      <c r="R45" s="24"/>
      <c r="S45" s="24"/>
    </row>
    <row r="46" spans="1:19" s="34" customFormat="1" ht="15.75">
      <c r="A46" s="29" t="s">
        <v>243</v>
      </c>
      <c r="B46" s="29" t="s">
        <v>198</v>
      </c>
      <c r="C46" s="87">
        <v>421</v>
      </c>
      <c r="D46" s="29"/>
      <c r="E46" s="87">
        <v>424</v>
      </c>
      <c r="F46" s="87">
        <v>431</v>
      </c>
      <c r="G46" s="29"/>
      <c r="H46" s="29">
        <v>385</v>
      </c>
      <c r="I46" s="29">
        <v>384</v>
      </c>
      <c r="J46" s="29"/>
      <c r="K46" s="29"/>
      <c r="L46" s="29">
        <v>404</v>
      </c>
      <c r="M46" s="29">
        <f>SUM(C46:L46)</f>
        <v>2449</v>
      </c>
      <c r="N46" s="29">
        <v>3</v>
      </c>
      <c r="O46" s="29">
        <v>5</v>
      </c>
      <c r="P46" s="29">
        <f>M46-2467</f>
        <v>-18</v>
      </c>
      <c r="Q46" s="29">
        <v>0</v>
      </c>
      <c r="R46" s="33"/>
      <c r="S46" s="33"/>
    </row>
    <row r="47" spans="1:19" s="25" customFormat="1" ht="15.75">
      <c r="A47" s="20" t="s">
        <v>244</v>
      </c>
      <c r="B47" s="20" t="s">
        <v>18</v>
      </c>
      <c r="C47" s="79">
        <v>431</v>
      </c>
      <c r="D47" s="20"/>
      <c r="E47" s="20"/>
      <c r="F47" s="79">
        <v>431</v>
      </c>
      <c r="G47" s="79">
        <v>422</v>
      </c>
      <c r="H47" s="20"/>
      <c r="I47" s="79">
        <v>422</v>
      </c>
      <c r="J47" s="20">
        <v>420</v>
      </c>
      <c r="K47" s="20"/>
      <c r="L47" s="20">
        <v>420</v>
      </c>
      <c r="M47" s="20">
        <f>SUM(C47:L47)</f>
        <v>2546</v>
      </c>
      <c r="N47" s="20">
        <v>6</v>
      </c>
      <c r="O47" s="20">
        <v>2</v>
      </c>
      <c r="P47" s="20">
        <v>152</v>
      </c>
      <c r="Q47" s="20">
        <v>2</v>
      </c>
      <c r="R47" s="24"/>
      <c r="S47" s="24"/>
    </row>
    <row r="48" spans="1:19" s="34" customFormat="1" ht="16.5" thickBot="1">
      <c r="A48" s="29" t="s">
        <v>245</v>
      </c>
      <c r="B48" s="29" t="s">
        <v>26</v>
      </c>
      <c r="C48" s="87">
        <v>454</v>
      </c>
      <c r="D48" s="29"/>
      <c r="E48" s="29">
        <v>402</v>
      </c>
      <c r="F48" s="87">
        <v>449</v>
      </c>
      <c r="G48" s="29"/>
      <c r="H48" s="29">
        <v>420</v>
      </c>
      <c r="I48" s="29"/>
      <c r="J48" s="87">
        <v>439</v>
      </c>
      <c r="K48" s="29"/>
      <c r="L48" s="29">
        <v>412</v>
      </c>
      <c r="M48" s="29">
        <f>SUM(C48:L48)</f>
        <v>2576</v>
      </c>
      <c r="N48" s="43">
        <v>5</v>
      </c>
      <c r="O48" s="43">
        <v>3</v>
      </c>
      <c r="P48" s="43">
        <v>20</v>
      </c>
      <c r="Q48" s="43">
        <v>2</v>
      </c>
      <c r="R48" s="33"/>
      <c r="S48" s="33"/>
    </row>
    <row r="49" spans="3:17" ht="16.5" thickTop="1">
      <c r="C49" s="180">
        <f>SUM(C32:C48)</f>
        <v>2519</v>
      </c>
      <c r="D49" s="180">
        <f aca="true" t="shared" si="4" ref="D49:L49">SUM(D32:D48)</f>
        <v>3061</v>
      </c>
      <c r="E49" s="180">
        <f t="shared" si="4"/>
        <v>3035</v>
      </c>
      <c r="F49" s="180">
        <f t="shared" si="4"/>
        <v>7031</v>
      </c>
      <c r="G49" s="180">
        <f t="shared" si="4"/>
        <v>5587</v>
      </c>
      <c r="H49" s="180">
        <f t="shared" si="4"/>
        <v>5778</v>
      </c>
      <c r="I49" s="180">
        <f t="shared" si="4"/>
        <v>6382</v>
      </c>
      <c r="J49" s="180">
        <f t="shared" si="4"/>
        <v>5849</v>
      </c>
      <c r="K49" s="180"/>
      <c r="L49" s="180">
        <f t="shared" si="4"/>
        <v>1439</v>
      </c>
      <c r="N49" s="1">
        <f>SUM(N32:N48)</f>
        <v>78</v>
      </c>
      <c r="O49" s="1">
        <f>SUM(O32:O48)</f>
        <v>50</v>
      </c>
      <c r="P49" s="1">
        <f>SUM(P32:P48)</f>
        <v>715</v>
      </c>
      <c r="Q49" s="1">
        <f>SUM(Q32:Q48)</f>
        <v>27</v>
      </c>
    </row>
    <row r="51" spans="2:19" ht="31.5">
      <c r="B51" s="12" t="s">
        <v>152</v>
      </c>
      <c r="C51" s="17">
        <f>C49/6</f>
        <v>419.8333333333333</v>
      </c>
      <c r="D51" s="17">
        <f>D49/7</f>
        <v>437.2857142857143</v>
      </c>
      <c r="E51" s="17">
        <f>E49/7.5</f>
        <v>404.6666666666667</v>
      </c>
      <c r="F51" s="17">
        <f>AVERAGE(F32:F48)</f>
        <v>439.4375</v>
      </c>
      <c r="G51" s="17">
        <f>AVERAGE(G32:G48)</f>
        <v>429.7692307692308</v>
      </c>
      <c r="H51" s="17">
        <f>AVERAGE(H32:H48)</f>
        <v>412.7142857142857</v>
      </c>
      <c r="I51" s="17">
        <f>AVERAGE(I32:I48)</f>
        <v>425.46666666666664</v>
      </c>
      <c r="J51" s="17">
        <f>AVERAGE(J32:J48)</f>
        <v>417.7857142857143</v>
      </c>
      <c r="K51" s="17"/>
      <c r="L51" s="17">
        <f>L49/3.5</f>
        <v>411.14285714285717</v>
      </c>
      <c r="M51" s="3" t="s">
        <v>35</v>
      </c>
      <c r="N51" s="185" t="s">
        <v>135</v>
      </c>
      <c r="O51" s="185"/>
      <c r="P51" s="3" t="s">
        <v>36</v>
      </c>
      <c r="Q51" s="11" t="s">
        <v>136</v>
      </c>
      <c r="S51" s="14" t="s">
        <v>150</v>
      </c>
    </row>
    <row r="52" spans="13:19" ht="15.75">
      <c r="M52" s="6">
        <f>SUM(M32:M48)</f>
        <v>40681</v>
      </c>
      <c r="N52" s="6">
        <f>SUM(N32:N48)</f>
        <v>78</v>
      </c>
      <c r="O52" s="6">
        <f>SUM(O32:O48)</f>
        <v>50</v>
      </c>
      <c r="P52" s="6">
        <f>SUM(P32:P48)</f>
        <v>715</v>
      </c>
      <c r="Q52" s="6">
        <f>SUM(Q32:Q48)</f>
        <v>27</v>
      </c>
      <c r="S52" s="2">
        <f>N52-O52</f>
        <v>28</v>
      </c>
    </row>
    <row r="54" spans="13:14" ht="15.75">
      <c r="M54" s="1" t="s">
        <v>153</v>
      </c>
      <c r="N54" s="19">
        <f>M52/16</f>
        <v>2542.5625</v>
      </c>
    </row>
  </sheetData>
  <mergeCells count="10">
    <mergeCell ref="C24:D24"/>
    <mergeCell ref="C25:D25"/>
    <mergeCell ref="C1:L1"/>
    <mergeCell ref="N1:O1"/>
    <mergeCell ref="C23:D23"/>
    <mergeCell ref="N21:O21"/>
    <mergeCell ref="N51:O51"/>
    <mergeCell ref="I26:J26"/>
    <mergeCell ref="L26:M26"/>
    <mergeCell ref="L27:M27"/>
  </mergeCells>
  <printOptions/>
  <pageMargins left="0.75" right="0.75" top="1" bottom="1" header="0.5" footer="0.5"/>
  <pageSetup horizontalDpi="600" verticalDpi="600" orientation="portrait" paperSize="9" r:id="rId1"/>
  <ignoredErrors>
    <ignoredError sqref="M39 M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19">
      <selection activeCell="Q47" sqref="Q47"/>
    </sheetView>
  </sheetViews>
  <sheetFormatPr defaultColWidth="9.00390625" defaultRowHeight="12.75"/>
  <cols>
    <col min="1" max="1" width="11.25390625" style="1" bestFit="1" customWidth="1"/>
    <col min="2" max="2" width="11.875" style="1" bestFit="1" customWidth="1"/>
    <col min="3" max="3" width="12.00390625" style="1" customWidth="1"/>
    <col min="4" max="4" width="10.75390625" style="1" customWidth="1"/>
    <col min="5" max="11" width="9.125" style="1" customWidth="1"/>
    <col min="12" max="12" width="11.253906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875" style="1" customWidth="1"/>
    <col min="19" max="19" width="15.75390625" style="0" bestFit="1" customWidth="1"/>
  </cols>
  <sheetData>
    <row r="1" spans="3:20" ht="15.75">
      <c r="C1" s="185" t="s">
        <v>31</v>
      </c>
      <c r="D1" s="185"/>
      <c r="E1" s="185"/>
      <c r="F1" s="185"/>
      <c r="G1" s="185"/>
      <c r="H1" s="185"/>
      <c r="I1" s="185"/>
      <c r="J1" s="185"/>
      <c r="K1" s="185"/>
      <c r="L1" s="185"/>
      <c r="N1" s="185" t="s">
        <v>33</v>
      </c>
      <c r="O1" s="185"/>
      <c r="R1" s="2"/>
      <c r="S1" s="2"/>
      <c r="T1" s="2"/>
    </row>
    <row r="2" spans="2:17" ht="32.25" thickBot="1">
      <c r="B2" s="3" t="s">
        <v>29</v>
      </c>
      <c r="C2" s="9" t="s">
        <v>205</v>
      </c>
      <c r="D2" s="9" t="s">
        <v>59</v>
      </c>
      <c r="E2" s="9" t="s">
        <v>60</v>
      </c>
      <c r="F2" s="9" t="s">
        <v>61</v>
      </c>
      <c r="G2" s="9" t="s">
        <v>206</v>
      </c>
      <c r="H2" s="9" t="s">
        <v>207</v>
      </c>
      <c r="I2" s="9" t="s">
        <v>62</v>
      </c>
      <c r="J2" s="9" t="s">
        <v>116</v>
      </c>
      <c r="K2" s="9" t="s">
        <v>226</v>
      </c>
      <c r="L2" s="9"/>
      <c r="M2" s="3" t="s">
        <v>35</v>
      </c>
      <c r="N2" s="3" t="s">
        <v>17</v>
      </c>
      <c r="O2" s="3" t="s">
        <v>34</v>
      </c>
      <c r="P2" s="3" t="s">
        <v>36</v>
      </c>
      <c r="Q2" s="11" t="s">
        <v>134</v>
      </c>
    </row>
    <row r="3" spans="1:17" s="34" customFormat="1" ht="15.75">
      <c r="A3" s="29" t="s">
        <v>0</v>
      </c>
      <c r="B3" s="29" t="s">
        <v>26</v>
      </c>
      <c r="C3" s="74">
        <v>426</v>
      </c>
      <c r="D3" s="74">
        <v>431</v>
      </c>
      <c r="E3" s="48"/>
      <c r="F3" s="48"/>
      <c r="G3" s="48">
        <v>422</v>
      </c>
      <c r="H3" s="48">
        <v>387</v>
      </c>
      <c r="I3" s="74">
        <v>441</v>
      </c>
      <c r="J3" s="48">
        <v>386</v>
      </c>
      <c r="K3" s="48"/>
      <c r="L3" s="56"/>
      <c r="M3" s="32">
        <f aca="true" t="shared" si="0" ref="M3:M19">SUM(C3:L3)</f>
        <v>2493</v>
      </c>
      <c r="N3" s="29">
        <v>5</v>
      </c>
      <c r="O3" s="29">
        <v>3</v>
      </c>
      <c r="P3" s="29">
        <v>1</v>
      </c>
      <c r="Q3" s="29">
        <v>2</v>
      </c>
    </row>
    <row r="4" spans="1:17" s="25" customFormat="1" ht="15.75">
      <c r="A4" s="20" t="s">
        <v>1</v>
      </c>
      <c r="B4" s="20" t="s">
        <v>20</v>
      </c>
      <c r="C4" s="73">
        <v>426</v>
      </c>
      <c r="D4" s="73">
        <v>420</v>
      </c>
      <c r="E4" s="47">
        <v>416</v>
      </c>
      <c r="F4" s="47">
        <v>416</v>
      </c>
      <c r="G4" s="47"/>
      <c r="H4" s="47"/>
      <c r="I4" s="73">
        <v>427</v>
      </c>
      <c r="J4" s="47"/>
      <c r="K4" s="47">
        <v>408</v>
      </c>
      <c r="L4" s="39"/>
      <c r="M4" s="23">
        <f t="shared" si="0"/>
        <v>2513</v>
      </c>
      <c r="N4" s="20">
        <v>5</v>
      </c>
      <c r="O4" s="20">
        <v>3</v>
      </c>
      <c r="P4" s="20">
        <v>56</v>
      </c>
      <c r="Q4" s="20">
        <v>2</v>
      </c>
    </row>
    <row r="5" spans="1:17" s="34" customFormat="1" ht="15.75">
      <c r="A5" s="29" t="s">
        <v>2</v>
      </c>
      <c r="B5" s="35" t="s">
        <v>22</v>
      </c>
      <c r="C5" s="74">
        <v>435</v>
      </c>
      <c r="D5" s="74">
        <v>419</v>
      </c>
      <c r="E5" s="74">
        <v>444</v>
      </c>
      <c r="F5" s="74">
        <v>433</v>
      </c>
      <c r="G5" s="48">
        <v>402</v>
      </c>
      <c r="H5" s="48"/>
      <c r="I5" s="48"/>
      <c r="J5" s="48"/>
      <c r="K5" s="48">
        <v>410</v>
      </c>
      <c r="L5" s="44"/>
      <c r="M5" s="32">
        <f t="shared" si="0"/>
        <v>2543</v>
      </c>
      <c r="N5" s="29">
        <v>6</v>
      </c>
      <c r="O5" s="29">
        <v>2</v>
      </c>
      <c r="P5" s="32">
        <f>M5-2450</f>
        <v>93</v>
      </c>
      <c r="Q5" s="29">
        <v>2</v>
      </c>
    </row>
    <row r="6" spans="1:17" s="25" customFormat="1" ht="15.75">
      <c r="A6" s="20" t="s">
        <v>3</v>
      </c>
      <c r="B6" s="20" t="s">
        <v>30</v>
      </c>
      <c r="C6" s="77">
        <v>448</v>
      </c>
      <c r="D6" s="73">
        <v>451</v>
      </c>
      <c r="E6" s="47">
        <v>426</v>
      </c>
      <c r="F6" s="49">
        <v>418</v>
      </c>
      <c r="G6" s="49"/>
      <c r="H6" s="49"/>
      <c r="I6" s="77">
        <v>456</v>
      </c>
      <c r="J6" s="49"/>
      <c r="K6" s="77">
        <v>467</v>
      </c>
      <c r="L6" s="39"/>
      <c r="M6" s="23">
        <f t="shared" si="0"/>
        <v>2666</v>
      </c>
      <c r="N6" s="20">
        <v>6</v>
      </c>
      <c r="O6" s="20">
        <v>2</v>
      </c>
      <c r="P6" s="20">
        <v>125</v>
      </c>
      <c r="Q6" s="20">
        <v>2</v>
      </c>
    </row>
    <row r="7" spans="1:17" s="34" customFormat="1" ht="15.75">
      <c r="A7" s="29" t="s">
        <v>4</v>
      </c>
      <c r="B7" s="29" t="s">
        <v>19</v>
      </c>
      <c r="C7" s="74">
        <v>409</v>
      </c>
      <c r="D7" s="48">
        <v>392</v>
      </c>
      <c r="E7" s="74">
        <v>435</v>
      </c>
      <c r="F7" s="48"/>
      <c r="G7" s="48">
        <v>384</v>
      </c>
      <c r="H7" s="48"/>
      <c r="I7" s="48"/>
      <c r="J7" s="48">
        <v>390</v>
      </c>
      <c r="K7" s="48">
        <v>391</v>
      </c>
      <c r="L7" s="44"/>
      <c r="M7" s="32">
        <f t="shared" si="0"/>
        <v>2401</v>
      </c>
      <c r="N7" s="29">
        <v>4</v>
      </c>
      <c r="O7" s="29">
        <v>4</v>
      </c>
      <c r="P7" s="29">
        <v>20</v>
      </c>
      <c r="Q7" s="29">
        <v>1</v>
      </c>
    </row>
    <row r="8" spans="1:17" s="25" customFormat="1" ht="15.75">
      <c r="A8" s="20" t="s">
        <v>5</v>
      </c>
      <c r="B8" s="20" t="s">
        <v>24</v>
      </c>
      <c r="C8" s="73">
        <v>429</v>
      </c>
      <c r="D8" s="47"/>
      <c r="E8" s="73">
        <v>427</v>
      </c>
      <c r="F8" s="73">
        <v>432</v>
      </c>
      <c r="G8" s="47"/>
      <c r="H8" s="73">
        <v>431</v>
      </c>
      <c r="I8" s="73">
        <v>444</v>
      </c>
      <c r="J8" s="47"/>
      <c r="K8" s="47">
        <v>399</v>
      </c>
      <c r="L8" s="39"/>
      <c r="M8" s="23">
        <f t="shared" si="0"/>
        <v>2562</v>
      </c>
      <c r="N8" s="20">
        <v>7</v>
      </c>
      <c r="O8" s="20">
        <v>1</v>
      </c>
      <c r="P8" s="20">
        <v>240</v>
      </c>
      <c r="Q8" s="20">
        <v>2</v>
      </c>
    </row>
    <row r="9" spans="1:17" s="34" customFormat="1" ht="15.75">
      <c r="A9" s="29" t="s">
        <v>6</v>
      </c>
      <c r="B9" s="29" t="s">
        <v>199</v>
      </c>
      <c r="C9" s="74">
        <v>415</v>
      </c>
      <c r="D9" s="74">
        <v>428</v>
      </c>
      <c r="E9" s="48"/>
      <c r="F9" s="48"/>
      <c r="G9" s="48">
        <v>390</v>
      </c>
      <c r="H9" s="48"/>
      <c r="I9" s="74">
        <v>418</v>
      </c>
      <c r="J9" s="74">
        <v>436</v>
      </c>
      <c r="K9" s="74">
        <v>411</v>
      </c>
      <c r="L9" s="44"/>
      <c r="M9" s="32">
        <f t="shared" si="0"/>
        <v>2498</v>
      </c>
      <c r="N9" s="29">
        <v>7</v>
      </c>
      <c r="O9" s="29">
        <v>1</v>
      </c>
      <c r="P9" s="29">
        <v>206</v>
      </c>
      <c r="Q9" s="29">
        <v>2</v>
      </c>
    </row>
    <row r="10" spans="1:17" s="64" customFormat="1" ht="15.75">
      <c r="A10" s="63" t="s">
        <v>7</v>
      </c>
      <c r="B10" s="63" t="s">
        <v>23</v>
      </c>
      <c r="C10" s="81"/>
      <c r="D10" s="81"/>
      <c r="E10" s="81"/>
      <c r="F10" s="81"/>
      <c r="G10" s="81"/>
      <c r="H10" s="81"/>
      <c r="I10" s="81"/>
      <c r="J10" s="81"/>
      <c r="K10" s="81"/>
      <c r="L10" s="83"/>
      <c r="M10" s="71">
        <f t="shared" si="0"/>
        <v>0</v>
      </c>
      <c r="N10" s="63"/>
      <c r="O10" s="63"/>
      <c r="P10" s="63"/>
      <c r="Q10" s="63"/>
    </row>
    <row r="11" spans="1:17" s="34" customFormat="1" ht="15.75">
      <c r="A11" s="29" t="s">
        <v>8</v>
      </c>
      <c r="B11" s="29" t="s">
        <v>21</v>
      </c>
      <c r="C11" s="48"/>
      <c r="D11" s="48"/>
      <c r="E11" s="48">
        <v>408</v>
      </c>
      <c r="F11" s="48">
        <v>414</v>
      </c>
      <c r="G11" s="48"/>
      <c r="H11" s="74">
        <v>414</v>
      </c>
      <c r="I11" s="74">
        <v>437</v>
      </c>
      <c r="J11" s="48">
        <v>408</v>
      </c>
      <c r="K11" s="74">
        <v>459</v>
      </c>
      <c r="L11" s="44"/>
      <c r="M11" s="32">
        <f t="shared" si="0"/>
        <v>2540</v>
      </c>
      <c r="N11" s="29">
        <v>5</v>
      </c>
      <c r="O11" s="29">
        <v>3</v>
      </c>
      <c r="P11" s="32">
        <f>M11-2434</f>
        <v>106</v>
      </c>
      <c r="Q11" s="29">
        <v>2</v>
      </c>
    </row>
    <row r="12" spans="1:17" s="25" customFormat="1" ht="15.75">
      <c r="A12" s="20" t="s">
        <v>9</v>
      </c>
      <c r="B12" s="20" t="s">
        <v>25</v>
      </c>
      <c r="C12" s="47"/>
      <c r="D12" s="47"/>
      <c r="E12" s="73">
        <v>426</v>
      </c>
      <c r="F12" s="73">
        <v>439</v>
      </c>
      <c r="G12" s="47">
        <v>400</v>
      </c>
      <c r="H12" s="47">
        <v>400</v>
      </c>
      <c r="I12" s="73">
        <v>417</v>
      </c>
      <c r="J12" s="47"/>
      <c r="K12" s="47">
        <v>389</v>
      </c>
      <c r="L12" s="39"/>
      <c r="M12" s="23">
        <f t="shared" si="0"/>
        <v>2471</v>
      </c>
      <c r="N12" s="20">
        <v>3</v>
      </c>
      <c r="O12" s="20">
        <v>5</v>
      </c>
      <c r="P12" s="20">
        <v>-101</v>
      </c>
      <c r="Q12" s="20">
        <v>0</v>
      </c>
    </row>
    <row r="13" spans="1:17" s="34" customFormat="1" ht="15.75">
      <c r="A13" s="29" t="s">
        <v>10</v>
      </c>
      <c r="B13" s="29" t="s">
        <v>16</v>
      </c>
      <c r="C13" s="48"/>
      <c r="D13" s="48">
        <v>419</v>
      </c>
      <c r="E13" s="48">
        <v>413</v>
      </c>
      <c r="F13" s="48">
        <v>399</v>
      </c>
      <c r="G13" s="74">
        <v>440</v>
      </c>
      <c r="H13" s="48">
        <v>402</v>
      </c>
      <c r="I13" s="48"/>
      <c r="J13" s="74">
        <v>423</v>
      </c>
      <c r="K13" s="48"/>
      <c r="L13" s="44"/>
      <c r="M13" s="32">
        <f t="shared" si="0"/>
        <v>2496</v>
      </c>
      <c r="N13" s="29">
        <v>2</v>
      </c>
      <c r="O13" s="29">
        <v>6</v>
      </c>
      <c r="P13" s="29">
        <v>-47</v>
      </c>
      <c r="Q13" s="29">
        <v>0</v>
      </c>
    </row>
    <row r="14" spans="1:17" s="34" customFormat="1" ht="15.75">
      <c r="A14" s="29" t="s">
        <v>11</v>
      </c>
      <c r="B14" s="29" t="s">
        <v>15</v>
      </c>
      <c r="C14" s="48"/>
      <c r="D14" s="74">
        <v>433</v>
      </c>
      <c r="E14" s="48"/>
      <c r="F14" s="48">
        <v>379</v>
      </c>
      <c r="G14" s="48">
        <v>416</v>
      </c>
      <c r="H14" s="48">
        <v>410</v>
      </c>
      <c r="I14" s="48"/>
      <c r="J14" s="74">
        <v>437</v>
      </c>
      <c r="K14" s="74">
        <v>420</v>
      </c>
      <c r="L14" s="44"/>
      <c r="M14" s="32">
        <f t="shared" si="0"/>
        <v>2495</v>
      </c>
      <c r="N14" s="29">
        <v>3</v>
      </c>
      <c r="O14" s="29">
        <v>5</v>
      </c>
      <c r="P14" s="32">
        <f>M14-2560</f>
        <v>-65</v>
      </c>
      <c r="Q14" s="29">
        <v>0</v>
      </c>
    </row>
    <row r="15" spans="1:17" s="25" customFormat="1" ht="15.75">
      <c r="A15" s="20" t="s">
        <v>12</v>
      </c>
      <c r="B15" s="20" t="s">
        <v>27</v>
      </c>
      <c r="C15" s="47"/>
      <c r="D15" s="47">
        <v>400</v>
      </c>
      <c r="E15" s="73">
        <v>436</v>
      </c>
      <c r="F15" s="47"/>
      <c r="G15" s="47">
        <v>395</v>
      </c>
      <c r="H15" s="47"/>
      <c r="I15" s="73">
        <v>444</v>
      </c>
      <c r="J15" s="73">
        <v>441</v>
      </c>
      <c r="K15" s="47">
        <v>399</v>
      </c>
      <c r="L15" s="39"/>
      <c r="M15" s="23">
        <f t="shared" si="0"/>
        <v>2515</v>
      </c>
      <c r="N15" s="20">
        <v>3</v>
      </c>
      <c r="O15" s="20">
        <v>5</v>
      </c>
      <c r="P15" s="23">
        <f>M15-2617</f>
        <v>-102</v>
      </c>
      <c r="Q15" s="20">
        <v>0</v>
      </c>
    </row>
    <row r="16" spans="1:17" s="34" customFormat="1" ht="15.75">
      <c r="A16" s="29" t="s">
        <v>13</v>
      </c>
      <c r="B16" s="29" t="s">
        <v>32</v>
      </c>
      <c r="C16" s="74">
        <v>454</v>
      </c>
      <c r="D16" s="48">
        <v>418</v>
      </c>
      <c r="E16" s="74">
        <v>499</v>
      </c>
      <c r="F16" s="74">
        <v>425</v>
      </c>
      <c r="G16" s="74">
        <v>421</v>
      </c>
      <c r="H16" s="48"/>
      <c r="I16" s="48"/>
      <c r="J16" s="48"/>
      <c r="K16" s="74">
        <v>460</v>
      </c>
      <c r="L16" s="44"/>
      <c r="M16" s="32">
        <f t="shared" si="0"/>
        <v>2677</v>
      </c>
      <c r="N16" s="29">
        <v>7</v>
      </c>
      <c r="O16" s="29">
        <v>1</v>
      </c>
      <c r="P16" s="29">
        <v>451</v>
      </c>
      <c r="Q16" s="29">
        <v>2</v>
      </c>
    </row>
    <row r="17" spans="1:17" s="25" customFormat="1" ht="15.75">
      <c r="A17" s="20" t="s">
        <v>14</v>
      </c>
      <c r="B17" s="20" t="s">
        <v>28</v>
      </c>
      <c r="C17" s="47"/>
      <c r="D17" s="47"/>
      <c r="E17" s="47">
        <v>400</v>
      </c>
      <c r="F17" s="73">
        <v>414</v>
      </c>
      <c r="G17" s="73">
        <v>418</v>
      </c>
      <c r="H17" s="47">
        <v>410</v>
      </c>
      <c r="I17" s="47"/>
      <c r="J17" s="73">
        <v>415</v>
      </c>
      <c r="K17" s="47">
        <v>405</v>
      </c>
      <c r="L17" s="39"/>
      <c r="M17" s="23">
        <f t="shared" si="0"/>
        <v>2462</v>
      </c>
      <c r="N17" s="20">
        <v>5</v>
      </c>
      <c r="O17" s="20">
        <v>3</v>
      </c>
      <c r="P17" s="20">
        <v>401</v>
      </c>
      <c r="Q17" s="20">
        <v>2</v>
      </c>
    </row>
    <row r="18" spans="1:17" s="34" customFormat="1" ht="15.75">
      <c r="A18" s="29" t="s">
        <v>234</v>
      </c>
      <c r="B18" s="29" t="s">
        <v>198</v>
      </c>
      <c r="C18" s="74">
        <v>420</v>
      </c>
      <c r="D18" s="48">
        <v>193</v>
      </c>
      <c r="E18" s="48"/>
      <c r="F18" s="48">
        <v>415</v>
      </c>
      <c r="G18" s="74">
        <v>436</v>
      </c>
      <c r="H18" s="74">
        <v>424</v>
      </c>
      <c r="I18" s="48">
        <v>226</v>
      </c>
      <c r="J18" s="74">
        <v>443</v>
      </c>
      <c r="K18" s="48"/>
      <c r="L18" s="44"/>
      <c r="M18" s="32">
        <f t="shared" si="0"/>
        <v>2557</v>
      </c>
      <c r="N18" s="29">
        <v>6</v>
      </c>
      <c r="O18" s="29">
        <v>2</v>
      </c>
      <c r="P18" s="29">
        <v>114</v>
      </c>
      <c r="Q18" s="29">
        <v>2</v>
      </c>
    </row>
    <row r="19" spans="1:17" s="25" customFormat="1" ht="16.5" thickBot="1">
      <c r="A19" s="20" t="s">
        <v>235</v>
      </c>
      <c r="B19" s="20" t="s">
        <v>18</v>
      </c>
      <c r="C19" s="134">
        <v>431</v>
      </c>
      <c r="D19" s="134">
        <v>442</v>
      </c>
      <c r="E19" s="53">
        <v>423</v>
      </c>
      <c r="F19" s="53"/>
      <c r="G19" s="53">
        <v>183</v>
      </c>
      <c r="H19" s="53">
        <v>203</v>
      </c>
      <c r="I19" s="53">
        <v>412</v>
      </c>
      <c r="J19" s="53"/>
      <c r="K19" s="134">
        <v>448</v>
      </c>
      <c r="L19" s="54"/>
      <c r="M19" s="27">
        <f t="shared" si="0"/>
        <v>2542</v>
      </c>
      <c r="N19" s="28">
        <v>3</v>
      </c>
      <c r="O19" s="28">
        <v>5</v>
      </c>
      <c r="P19" s="28">
        <v>-60</v>
      </c>
      <c r="Q19" s="28">
        <v>0</v>
      </c>
    </row>
    <row r="20" spans="3:12" ht="16.5" thickTop="1">
      <c r="C20" s="6">
        <f>SUM(C3:C19)</f>
        <v>4293</v>
      </c>
      <c r="D20" s="6">
        <f>SUM(D3:D19)</f>
        <v>4846</v>
      </c>
      <c r="E20" s="6">
        <f aca="true" t="shared" si="1" ref="E20:L20">SUM(E3:E19)</f>
        <v>5153</v>
      </c>
      <c r="F20" s="6">
        <f t="shared" si="1"/>
        <v>4584</v>
      </c>
      <c r="G20" s="6">
        <f>SUM(G3:G19)</f>
        <v>4707</v>
      </c>
      <c r="H20" s="6">
        <f>SUM(H3:H19)</f>
        <v>3481</v>
      </c>
      <c r="I20" s="6">
        <f t="shared" si="1"/>
        <v>4122</v>
      </c>
      <c r="J20" s="6">
        <f t="shared" si="1"/>
        <v>3779</v>
      </c>
      <c r="K20" s="6">
        <f t="shared" si="1"/>
        <v>5466</v>
      </c>
      <c r="L20" s="6">
        <f t="shared" si="1"/>
        <v>0</v>
      </c>
    </row>
    <row r="21" spans="2:19" ht="33" customHeight="1">
      <c r="B21" s="12" t="s">
        <v>152</v>
      </c>
      <c r="C21" s="17">
        <f>AVERAGE(C3:C19)</f>
        <v>429.3</v>
      </c>
      <c r="D21" s="17">
        <f>D20/11.5</f>
        <v>421.39130434782606</v>
      </c>
      <c r="E21" s="17">
        <f aca="true" t="shared" si="2" ref="E21:K21">AVERAGE(E3:E19)</f>
        <v>429.4166666666667</v>
      </c>
      <c r="F21" s="17">
        <f t="shared" si="2"/>
        <v>416.72727272727275</v>
      </c>
      <c r="G21" s="17">
        <f>G20/11.5</f>
        <v>409.30434782608694</v>
      </c>
      <c r="H21" s="17">
        <f>H20/8.5</f>
        <v>409.52941176470586</v>
      </c>
      <c r="I21" s="17">
        <f>I20/9.5</f>
        <v>433.89473684210526</v>
      </c>
      <c r="J21" s="17">
        <f t="shared" si="2"/>
        <v>419.8888888888889</v>
      </c>
      <c r="K21" s="17">
        <f t="shared" si="2"/>
        <v>420.46153846153845</v>
      </c>
      <c r="L21" s="17"/>
      <c r="M21" s="3" t="s">
        <v>35</v>
      </c>
      <c r="N21" s="185" t="s">
        <v>135</v>
      </c>
      <c r="O21" s="185"/>
      <c r="P21" s="3" t="s">
        <v>36</v>
      </c>
      <c r="Q21" s="11" t="s">
        <v>136</v>
      </c>
      <c r="S21" s="14" t="s">
        <v>150</v>
      </c>
    </row>
    <row r="22" spans="13:19" ht="15.75">
      <c r="M22" s="6">
        <f>SUM(M3:M19)</f>
        <v>40431</v>
      </c>
      <c r="N22" s="1">
        <f>SUM(N3:N19)</f>
        <v>77</v>
      </c>
      <c r="O22" s="1">
        <f>SUM(O3:O19)</f>
        <v>51</v>
      </c>
      <c r="P22" s="1">
        <f>SUM(P3:P19)</f>
        <v>1438</v>
      </c>
      <c r="Q22" s="1">
        <f>SUM(Q3:Q19)</f>
        <v>21</v>
      </c>
      <c r="S22" s="2">
        <f>N22-O22</f>
        <v>26</v>
      </c>
    </row>
    <row r="23" spans="3:4" ht="15.75">
      <c r="C23" s="190" t="s">
        <v>48</v>
      </c>
      <c r="D23" s="190"/>
    </row>
    <row r="24" spans="3:14" ht="15.75">
      <c r="C24" s="188" t="s">
        <v>157</v>
      </c>
      <c r="D24" s="188"/>
      <c r="M24" s="1" t="s">
        <v>153</v>
      </c>
      <c r="N24" s="19">
        <f>M22/16</f>
        <v>2526.9375</v>
      </c>
    </row>
    <row r="25" spans="3:4" ht="15.75">
      <c r="C25" s="189" t="s">
        <v>158</v>
      </c>
      <c r="D25" s="189"/>
    </row>
    <row r="26" spans="11:15" ht="15.75">
      <c r="K26" s="187" t="s">
        <v>183</v>
      </c>
      <c r="L26" s="187"/>
      <c r="M26" s="1" t="s">
        <v>184</v>
      </c>
      <c r="N26" s="191" t="s">
        <v>150</v>
      </c>
      <c r="O26" s="191"/>
    </row>
    <row r="27" spans="2:15" ht="15.75">
      <c r="B27" s="128" t="s">
        <v>169</v>
      </c>
      <c r="C27" s="129"/>
      <c r="D27" s="129" t="s">
        <v>173</v>
      </c>
      <c r="E27" s="129" t="s">
        <v>167</v>
      </c>
      <c r="F27" s="186" t="s">
        <v>168</v>
      </c>
      <c r="G27" s="186"/>
      <c r="H27" s="60"/>
      <c r="K27" s="1">
        <f>N22+N48</f>
        <v>143</v>
      </c>
      <c r="L27" s="1">
        <f>O22+O48</f>
        <v>113</v>
      </c>
      <c r="M27" s="1">
        <f>Q22+Q48</f>
        <v>36</v>
      </c>
      <c r="N27" s="187">
        <f>K27-L27</f>
        <v>30</v>
      </c>
      <c r="O27" s="187"/>
    </row>
    <row r="30" spans="2:17" ht="32.25" thickBot="1">
      <c r="B30" s="3" t="s">
        <v>29</v>
      </c>
      <c r="C30" s="9" t="s">
        <v>205</v>
      </c>
      <c r="D30" s="9" t="s">
        <v>59</v>
      </c>
      <c r="E30" s="9" t="s">
        <v>60</v>
      </c>
      <c r="F30" s="9" t="s">
        <v>61</v>
      </c>
      <c r="G30" s="9" t="s">
        <v>206</v>
      </c>
      <c r="H30" s="9" t="s">
        <v>207</v>
      </c>
      <c r="I30" s="9" t="s">
        <v>62</v>
      </c>
      <c r="J30" s="9" t="s">
        <v>116</v>
      </c>
      <c r="K30" s="9" t="s">
        <v>226</v>
      </c>
      <c r="L30" s="9"/>
      <c r="M30" s="3" t="s">
        <v>35</v>
      </c>
      <c r="N30" s="3" t="s">
        <v>17</v>
      </c>
      <c r="O30" s="3" t="s">
        <v>34</v>
      </c>
      <c r="P30" s="3" t="s">
        <v>36</v>
      </c>
      <c r="Q30" s="11" t="s">
        <v>134</v>
      </c>
    </row>
    <row r="31" spans="1:17" s="25" customFormat="1" ht="15.75">
      <c r="A31" s="20" t="s">
        <v>185</v>
      </c>
      <c r="B31" s="20" t="s">
        <v>26</v>
      </c>
      <c r="C31" s="37"/>
      <c r="D31" s="79">
        <v>424</v>
      </c>
      <c r="E31" s="79">
        <v>435</v>
      </c>
      <c r="F31" s="79">
        <v>434</v>
      </c>
      <c r="G31" s="37"/>
      <c r="H31" s="37">
        <v>404</v>
      </c>
      <c r="I31" s="37"/>
      <c r="J31" s="37">
        <v>395</v>
      </c>
      <c r="K31" s="37">
        <v>416</v>
      </c>
      <c r="L31" s="37"/>
      <c r="M31" s="20">
        <f>SUM(C31:L31)</f>
        <v>2508</v>
      </c>
      <c r="N31" s="20">
        <v>3</v>
      </c>
      <c r="O31" s="20">
        <v>5</v>
      </c>
      <c r="P31" s="20">
        <v>-75</v>
      </c>
      <c r="Q31" s="20">
        <v>0</v>
      </c>
    </row>
    <row r="32" spans="1:17" s="34" customFormat="1" ht="15.75">
      <c r="A32" s="29" t="s">
        <v>186</v>
      </c>
      <c r="B32" s="29" t="s">
        <v>20</v>
      </c>
      <c r="C32" s="35"/>
      <c r="D32" s="35">
        <v>428</v>
      </c>
      <c r="E32" s="35">
        <v>434</v>
      </c>
      <c r="F32" s="35"/>
      <c r="G32" s="35">
        <v>418</v>
      </c>
      <c r="H32" s="87">
        <v>448</v>
      </c>
      <c r="I32" s="35"/>
      <c r="J32" s="35">
        <v>429</v>
      </c>
      <c r="K32" s="35">
        <v>433</v>
      </c>
      <c r="L32" s="35"/>
      <c r="M32" s="29">
        <f>SUM(C32:L32)</f>
        <v>2590</v>
      </c>
      <c r="N32" s="29">
        <v>1</v>
      </c>
      <c r="O32" s="29">
        <v>7</v>
      </c>
      <c r="P32" s="29">
        <v>-129</v>
      </c>
      <c r="Q32" s="29">
        <v>0</v>
      </c>
    </row>
    <row r="33" spans="1:17" s="25" customFormat="1" ht="15.75">
      <c r="A33" s="20" t="s">
        <v>187</v>
      </c>
      <c r="B33" s="37" t="s">
        <v>22</v>
      </c>
      <c r="C33" s="37"/>
      <c r="D33" s="37"/>
      <c r="E33" s="79">
        <v>419</v>
      </c>
      <c r="F33" s="37">
        <v>406</v>
      </c>
      <c r="G33" s="37">
        <v>400</v>
      </c>
      <c r="H33" s="37">
        <v>418</v>
      </c>
      <c r="I33" s="37"/>
      <c r="J33" s="37">
        <v>418</v>
      </c>
      <c r="K33" s="79">
        <v>449</v>
      </c>
      <c r="L33" s="37"/>
      <c r="M33" s="20">
        <f>SUM(C33:L33)</f>
        <v>2510</v>
      </c>
      <c r="N33" s="20">
        <v>4</v>
      </c>
      <c r="O33" s="20">
        <v>4</v>
      </c>
      <c r="P33" s="20">
        <v>21</v>
      </c>
      <c r="Q33" s="20">
        <v>1</v>
      </c>
    </row>
    <row r="34" spans="1:17" s="34" customFormat="1" ht="15.75">
      <c r="A34" s="29" t="s">
        <v>188</v>
      </c>
      <c r="B34" s="29" t="s">
        <v>30</v>
      </c>
      <c r="C34" s="35"/>
      <c r="D34" s="87">
        <v>427</v>
      </c>
      <c r="E34" s="35">
        <v>389</v>
      </c>
      <c r="F34" s="87">
        <v>415</v>
      </c>
      <c r="G34" s="35">
        <v>392</v>
      </c>
      <c r="H34" s="87">
        <v>433</v>
      </c>
      <c r="I34" s="35"/>
      <c r="J34" s="35"/>
      <c r="K34" s="35">
        <v>385</v>
      </c>
      <c r="L34" s="35"/>
      <c r="M34" s="29">
        <f>SUM(C34:L34)</f>
        <v>2441</v>
      </c>
      <c r="N34" s="29">
        <v>3</v>
      </c>
      <c r="O34" s="29">
        <v>5</v>
      </c>
      <c r="P34" s="29">
        <v>-131</v>
      </c>
      <c r="Q34" s="29">
        <v>0</v>
      </c>
    </row>
    <row r="35" spans="1:17" s="25" customFormat="1" ht="15.75">
      <c r="A35" s="20" t="s">
        <v>189</v>
      </c>
      <c r="B35" s="20" t="s">
        <v>19</v>
      </c>
      <c r="C35" s="37"/>
      <c r="D35" s="37"/>
      <c r="E35" s="37">
        <v>394</v>
      </c>
      <c r="F35" s="79">
        <v>428</v>
      </c>
      <c r="G35" s="79">
        <v>436</v>
      </c>
      <c r="H35" s="79">
        <v>420</v>
      </c>
      <c r="I35" s="37"/>
      <c r="J35" s="79">
        <v>428</v>
      </c>
      <c r="K35" s="37">
        <v>400</v>
      </c>
      <c r="L35" s="37"/>
      <c r="M35" s="20">
        <f>SUM(C35:L35)</f>
        <v>2506</v>
      </c>
      <c r="N35" s="20">
        <v>6</v>
      </c>
      <c r="O35" s="20">
        <v>2</v>
      </c>
      <c r="P35" s="20">
        <v>181</v>
      </c>
      <c r="Q35" s="20">
        <v>2</v>
      </c>
    </row>
    <row r="36" spans="1:17" s="34" customFormat="1" ht="15.75">
      <c r="A36" s="29" t="s">
        <v>190</v>
      </c>
      <c r="B36" s="29" t="s">
        <v>24</v>
      </c>
      <c r="C36" s="87">
        <v>415</v>
      </c>
      <c r="D36" s="35"/>
      <c r="E36" s="35">
        <v>384</v>
      </c>
      <c r="F36" s="87">
        <v>453</v>
      </c>
      <c r="G36" s="87">
        <v>428</v>
      </c>
      <c r="H36" s="87">
        <v>411</v>
      </c>
      <c r="I36" s="35"/>
      <c r="J36" s="87">
        <v>419</v>
      </c>
      <c r="K36" s="35"/>
      <c r="L36" s="35"/>
      <c r="M36" s="29">
        <f aca="true" t="shared" si="3" ref="M36:M46">SUM(C36:L36)</f>
        <v>2510</v>
      </c>
      <c r="N36" s="29">
        <v>7</v>
      </c>
      <c r="O36" s="29">
        <v>1</v>
      </c>
      <c r="P36" s="29">
        <v>239</v>
      </c>
      <c r="Q36" s="29">
        <v>2</v>
      </c>
    </row>
    <row r="37" spans="1:17" s="25" customFormat="1" ht="15.75">
      <c r="A37" s="20" t="s">
        <v>191</v>
      </c>
      <c r="B37" s="20" t="s">
        <v>199</v>
      </c>
      <c r="C37" s="79">
        <v>380</v>
      </c>
      <c r="D37" s="37">
        <v>375</v>
      </c>
      <c r="E37" s="37"/>
      <c r="F37" s="79">
        <v>396</v>
      </c>
      <c r="G37" s="79">
        <v>397</v>
      </c>
      <c r="H37" s="37"/>
      <c r="I37" s="37"/>
      <c r="J37" s="79">
        <v>400</v>
      </c>
      <c r="K37" s="79">
        <v>409</v>
      </c>
      <c r="L37" s="37"/>
      <c r="M37" s="20">
        <f t="shared" si="3"/>
        <v>2357</v>
      </c>
      <c r="N37" s="20">
        <v>7</v>
      </c>
      <c r="O37" s="20">
        <v>1</v>
      </c>
      <c r="P37" s="20">
        <f>M37-2221</f>
        <v>136</v>
      </c>
      <c r="Q37" s="20">
        <v>2</v>
      </c>
    </row>
    <row r="38" spans="1:17" s="64" customFormat="1" ht="15.75">
      <c r="A38" s="63" t="s">
        <v>192</v>
      </c>
      <c r="B38" s="63" t="s">
        <v>23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3">
        <f t="shared" si="3"/>
        <v>0</v>
      </c>
      <c r="N38" s="63"/>
      <c r="O38" s="63"/>
      <c r="P38" s="63"/>
      <c r="Q38" s="63"/>
    </row>
    <row r="39" spans="1:17" s="25" customFormat="1" ht="15.75">
      <c r="A39" s="20" t="s">
        <v>193</v>
      </c>
      <c r="B39" s="20" t="s">
        <v>21</v>
      </c>
      <c r="C39" s="37"/>
      <c r="D39" s="37"/>
      <c r="E39" s="37">
        <v>392</v>
      </c>
      <c r="F39" s="37">
        <v>398</v>
      </c>
      <c r="G39" s="79">
        <v>436</v>
      </c>
      <c r="H39" s="79">
        <v>426</v>
      </c>
      <c r="I39" s="37"/>
      <c r="J39" s="37">
        <v>397</v>
      </c>
      <c r="K39" s="79">
        <v>411</v>
      </c>
      <c r="L39" s="37"/>
      <c r="M39" s="20">
        <f t="shared" si="3"/>
        <v>2460</v>
      </c>
      <c r="N39" s="20">
        <v>5</v>
      </c>
      <c r="O39" s="20">
        <v>3</v>
      </c>
      <c r="P39" s="20">
        <f>M39-2288</f>
        <v>172</v>
      </c>
      <c r="Q39" s="20">
        <v>2</v>
      </c>
    </row>
    <row r="40" spans="1:17" s="34" customFormat="1" ht="15.75">
      <c r="A40" s="29" t="s">
        <v>194</v>
      </c>
      <c r="B40" s="29" t="s">
        <v>25</v>
      </c>
      <c r="C40" s="35"/>
      <c r="D40" s="35"/>
      <c r="E40" s="35">
        <v>406</v>
      </c>
      <c r="F40" s="35"/>
      <c r="G40" s="35">
        <v>398</v>
      </c>
      <c r="H40" s="87">
        <v>426</v>
      </c>
      <c r="I40" s="87">
        <v>422</v>
      </c>
      <c r="J40" s="35">
        <v>408</v>
      </c>
      <c r="K40" s="35">
        <v>415</v>
      </c>
      <c r="L40" s="35"/>
      <c r="M40" s="29">
        <f t="shared" si="3"/>
        <v>2475</v>
      </c>
      <c r="N40" s="29">
        <v>2</v>
      </c>
      <c r="O40" s="29">
        <v>6</v>
      </c>
      <c r="P40" s="29">
        <f>M40-2540</f>
        <v>-65</v>
      </c>
      <c r="Q40" s="29">
        <v>0</v>
      </c>
    </row>
    <row r="41" spans="1:17" s="25" customFormat="1" ht="15.75">
      <c r="A41" s="20" t="s">
        <v>195</v>
      </c>
      <c r="B41" s="20" t="s">
        <v>16</v>
      </c>
      <c r="C41" s="37"/>
      <c r="D41" s="37">
        <v>409</v>
      </c>
      <c r="E41" s="79">
        <v>427</v>
      </c>
      <c r="F41" s="37">
        <v>404</v>
      </c>
      <c r="G41" s="37"/>
      <c r="H41" s="37">
        <v>413</v>
      </c>
      <c r="I41" s="37"/>
      <c r="J41" s="79">
        <v>436</v>
      </c>
      <c r="K41" s="79">
        <v>425</v>
      </c>
      <c r="L41" s="37"/>
      <c r="M41" s="20">
        <f t="shared" si="3"/>
        <v>2514</v>
      </c>
      <c r="N41" s="20">
        <v>5</v>
      </c>
      <c r="O41" s="20">
        <v>3</v>
      </c>
      <c r="P41" s="20">
        <f>M41-2486</f>
        <v>28</v>
      </c>
      <c r="Q41" s="20">
        <v>2</v>
      </c>
    </row>
    <row r="42" spans="1:17" s="25" customFormat="1" ht="15.75">
      <c r="A42" s="20" t="s">
        <v>196</v>
      </c>
      <c r="B42" s="20" t="s">
        <v>15</v>
      </c>
      <c r="C42" s="20"/>
      <c r="D42" s="20">
        <v>401</v>
      </c>
      <c r="E42" s="79">
        <v>428</v>
      </c>
      <c r="F42" s="20">
        <v>388</v>
      </c>
      <c r="G42" s="20"/>
      <c r="H42" s="20">
        <v>408</v>
      </c>
      <c r="I42" s="20"/>
      <c r="J42" s="20">
        <v>378</v>
      </c>
      <c r="K42" s="79">
        <v>439</v>
      </c>
      <c r="L42" s="20"/>
      <c r="M42" s="20">
        <f t="shared" si="3"/>
        <v>2442</v>
      </c>
      <c r="N42" s="20">
        <v>2</v>
      </c>
      <c r="O42" s="20">
        <v>6</v>
      </c>
      <c r="P42" s="20">
        <v>-93</v>
      </c>
      <c r="Q42" s="20">
        <v>0</v>
      </c>
    </row>
    <row r="43" spans="1:17" s="34" customFormat="1" ht="15.75">
      <c r="A43" s="29" t="s">
        <v>197</v>
      </c>
      <c r="B43" s="29" t="s">
        <v>27</v>
      </c>
      <c r="C43" s="29"/>
      <c r="D43" s="87">
        <v>414</v>
      </c>
      <c r="E43" s="29">
        <v>391</v>
      </c>
      <c r="F43" s="29"/>
      <c r="G43" s="87">
        <v>442</v>
      </c>
      <c r="H43" s="87">
        <v>442</v>
      </c>
      <c r="I43" s="29"/>
      <c r="J43" s="87">
        <v>429</v>
      </c>
      <c r="K43" s="87">
        <v>442</v>
      </c>
      <c r="L43" s="29"/>
      <c r="M43" s="29">
        <f t="shared" si="3"/>
        <v>2560</v>
      </c>
      <c r="N43" s="29">
        <v>7</v>
      </c>
      <c r="O43" s="29">
        <v>1</v>
      </c>
      <c r="P43" s="29">
        <f>M43-2439</f>
        <v>121</v>
      </c>
      <c r="Q43" s="29">
        <v>2</v>
      </c>
    </row>
    <row r="44" spans="1:17" s="25" customFormat="1" ht="15.75">
      <c r="A44" s="20" t="s">
        <v>242</v>
      </c>
      <c r="B44" s="20" t="s">
        <v>32</v>
      </c>
      <c r="C44" s="20"/>
      <c r="D44" s="20">
        <v>387</v>
      </c>
      <c r="E44" s="20"/>
      <c r="F44" s="20">
        <v>394</v>
      </c>
      <c r="G44" s="79">
        <v>419</v>
      </c>
      <c r="H44" s="20">
        <v>390</v>
      </c>
      <c r="I44" s="20"/>
      <c r="J44" s="20">
        <v>401</v>
      </c>
      <c r="K44" s="79">
        <v>429</v>
      </c>
      <c r="L44" s="20"/>
      <c r="M44" s="20">
        <f t="shared" si="3"/>
        <v>2420</v>
      </c>
      <c r="N44" s="20">
        <v>2</v>
      </c>
      <c r="O44" s="20">
        <v>6</v>
      </c>
      <c r="P44" s="20">
        <v>-6</v>
      </c>
      <c r="Q44" s="20">
        <v>0</v>
      </c>
    </row>
    <row r="45" spans="1:17" s="34" customFormat="1" ht="15.75">
      <c r="A45" s="29" t="s">
        <v>243</v>
      </c>
      <c r="B45" s="29" t="s">
        <v>28</v>
      </c>
      <c r="C45" s="29">
        <v>393</v>
      </c>
      <c r="D45" s="87">
        <v>422</v>
      </c>
      <c r="E45" s="87">
        <v>410</v>
      </c>
      <c r="F45" s="29">
        <v>395</v>
      </c>
      <c r="G45" s="29"/>
      <c r="H45" s="87">
        <v>436</v>
      </c>
      <c r="I45" s="29"/>
      <c r="J45" s="29"/>
      <c r="K45" s="29">
        <v>393</v>
      </c>
      <c r="L45" s="29"/>
      <c r="M45" s="29">
        <f t="shared" si="3"/>
        <v>2449</v>
      </c>
      <c r="N45" s="29">
        <v>3</v>
      </c>
      <c r="O45" s="29">
        <v>5</v>
      </c>
      <c r="P45" s="29">
        <v>-10</v>
      </c>
      <c r="Q45" s="29">
        <v>0</v>
      </c>
    </row>
    <row r="46" spans="1:17" s="25" customFormat="1" ht="15.75">
      <c r="A46" s="20" t="s">
        <v>244</v>
      </c>
      <c r="B46" s="20" t="s">
        <v>198</v>
      </c>
      <c r="C46" s="20"/>
      <c r="D46" s="20">
        <v>424</v>
      </c>
      <c r="E46" s="20"/>
      <c r="F46" s="79">
        <v>453</v>
      </c>
      <c r="G46" s="79">
        <v>429</v>
      </c>
      <c r="H46" s="20">
        <v>401</v>
      </c>
      <c r="I46" s="20"/>
      <c r="J46" s="79">
        <v>446</v>
      </c>
      <c r="K46" s="79">
        <v>487</v>
      </c>
      <c r="L46" s="20"/>
      <c r="M46" s="20">
        <f t="shared" si="3"/>
        <v>2640</v>
      </c>
      <c r="N46" s="20">
        <v>6</v>
      </c>
      <c r="O46" s="20">
        <v>2</v>
      </c>
      <c r="P46" s="20">
        <v>-177</v>
      </c>
      <c r="Q46" s="20">
        <v>2</v>
      </c>
    </row>
    <row r="47" spans="1:17" s="34" customFormat="1" ht="16.5" thickBot="1">
      <c r="A47" s="29" t="s">
        <v>245</v>
      </c>
      <c r="B47" s="29" t="s">
        <v>18</v>
      </c>
      <c r="C47" s="29"/>
      <c r="D47" s="87">
        <v>455</v>
      </c>
      <c r="E47" s="87">
        <v>428</v>
      </c>
      <c r="F47" s="29"/>
      <c r="G47" s="29">
        <v>421</v>
      </c>
      <c r="H47" s="29">
        <v>408</v>
      </c>
      <c r="I47" s="29"/>
      <c r="J47" s="87">
        <v>451</v>
      </c>
      <c r="K47" s="29">
        <v>425</v>
      </c>
      <c r="L47" s="29"/>
      <c r="M47" s="29">
        <f>SUM(C47:L47)</f>
        <v>2588</v>
      </c>
      <c r="N47" s="43">
        <v>3</v>
      </c>
      <c r="O47" s="43">
        <v>5</v>
      </c>
      <c r="P47" s="43">
        <v>-1</v>
      </c>
      <c r="Q47" s="43">
        <v>0</v>
      </c>
    </row>
    <row r="48" spans="3:17" ht="16.5" thickTop="1">
      <c r="C48" s="169">
        <f>SUM(C31:C47)</f>
        <v>1188</v>
      </c>
      <c r="D48" s="169">
        <f aca="true" t="shared" si="4" ref="D48:K48">SUM(D31:D47)</f>
        <v>4566</v>
      </c>
      <c r="E48" s="169">
        <f t="shared" si="4"/>
        <v>5337</v>
      </c>
      <c r="F48" s="169">
        <f t="shared" si="4"/>
        <v>4964</v>
      </c>
      <c r="G48" s="169">
        <f t="shared" si="4"/>
        <v>5016</v>
      </c>
      <c r="H48" s="169">
        <f t="shared" si="4"/>
        <v>6284</v>
      </c>
      <c r="I48" s="169">
        <f t="shared" si="4"/>
        <v>422</v>
      </c>
      <c r="J48" s="169">
        <f t="shared" si="4"/>
        <v>5835</v>
      </c>
      <c r="K48" s="169">
        <f t="shared" si="4"/>
        <v>6358</v>
      </c>
      <c r="N48" s="1">
        <f>SUM(N31:N47)</f>
        <v>66</v>
      </c>
      <c r="O48" s="1">
        <f>SUM(O31:O47)</f>
        <v>62</v>
      </c>
      <c r="P48" s="1">
        <f>SUM(P31:P47)</f>
        <v>211</v>
      </c>
      <c r="Q48" s="1">
        <f>SUM(Q31:Q47)</f>
        <v>15</v>
      </c>
    </row>
    <row r="50" spans="2:19" ht="31.5">
      <c r="B50" s="12" t="s">
        <v>152</v>
      </c>
      <c r="C50" s="17">
        <f>AVERAGE(C31:C47)</f>
        <v>396</v>
      </c>
      <c r="D50" s="17">
        <f aca="true" t="shared" si="5" ref="D50:K50">AVERAGE(D31:D47)</f>
        <v>415.09090909090907</v>
      </c>
      <c r="E50" s="17">
        <f t="shared" si="5"/>
        <v>410.53846153846155</v>
      </c>
      <c r="F50" s="17">
        <f t="shared" si="5"/>
        <v>413.6666666666667</v>
      </c>
      <c r="G50" s="17">
        <f t="shared" si="5"/>
        <v>418</v>
      </c>
      <c r="H50" s="17">
        <f t="shared" si="5"/>
        <v>418.93333333333334</v>
      </c>
      <c r="I50" s="17">
        <f t="shared" si="5"/>
        <v>422</v>
      </c>
      <c r="J50" s="17">
        <f t="shared" si="5"/>
        <v>416.7857142857143</v>
      </c>
      <c r="K50" s="17">
        <f t="shared" si="5"/>
        <v>423.8666666666667</v>
      </c>
      <c r="M50" s="3" t="s">
        <v>35</v>
      </c>
      <c r="N50" s="185" t="s">
        <v>135</v>
      </c>
      <c r="O50" s="185"/>
      <c r="P50" s="3" t="s">
        <v>36</v>
      </c>
      <c r="Q50" s="11" t="s">
        <v>136</v>
      </c>
      <c r="S50" s="14" t="s">
        <v>150</v>
      </c>
    </row>
    <row r="51" spans="13:19" ht="15.75">
      <c r="M51" s="6">
        <f>SUM(M31:M47)</f>
        <v>39970</v>
      </c>
      <c r="N51" s="6">
        <f>SUM(N31:N47)</f>
        <v>66</v>
      </c>
      <c r="O51" s="6">
        <f>SUM(O31:O47)</f>
        <v>62</v>
      </c>
      <c r="P51" s="6">
        <f>SUM(P31:P47)</f>
        <v>211</v>
      </c>
      <c r="Q51" s="6">
        <f>SUM(Q31:Q47)</f>
        <v>15</v>
      </c>
      <c r="S51" s="2">
        <f>N51-O51</f>
        <v>4</v>
      </c>
    </row>
    <row r="53" spans="13:14" ht="15.75">
      <c r="M53" s="1" t="s">
        <v>153</v>
      </c>
      <c r="N53" s="19">
        <f>M51/16</f>
        <v>2498.125</v>
      </c>
    </row>
  </sheetData>
  <mergeCells count="11">
    <mergeCell ref="C24:D24"/>
    <mergeCell ref="C1:L1"/>
    <mergeCell ref="N1:O1"/>
    <mergeCell ref="C23:D23"/>
    <mergeCell ref="N21:O21"/>
    <mergeCell ref="C25:D25"/>
    <mergeCell ref="N26:O26"/>
    <mergeCell ref="N50:O50"/>
    <mergeCell ref="F27:G27"/>
    <mergeCell ref="N27:O27"/>
    <mergeCell ref="K26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cp:lastPrinted>2010-09-30T17:02:36Z</cp:lastPrinted>
  <dcterms:created xsi:type="dcterms:W3CDTF">2008-09-16T07:00:15Z</dcterms:created>
  <dcterms:modified xsi:type="dcterms:W3CDTF">2011-05-22T16:46:07Z</dcterms:modified>
  <cp:category/>
  <cp:version/>
  <cp:contentType/>
  <cp:contentStatus/>
</cp:coreProperties>
</file>