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45" windowWidth="19320" windowHeight="8940" tabRatio="839" activeTab="8"/>
  </bookViews>
  <sheets>
    <sheet name="Kinizsi" sheetId="1" r:id="rId1"/>
    <sheet name="Santé" sheetId="2" r:id="rId2"/>
    <sheet name="Szedd Le" sheetId="3" r:id="rId3"/>
    <sheet name="Amazonok" sheetId="4" r:id="rId4"/>
    <sheet name="Bolgár" sheetId="5" r:id="rId5"/>
    <sheet name="Tápé" sheetId="6" r:id="rId6"/>
    <sheet name="Kalmár" sheetId="7" r:id="rId7"/>
    <sheet name="Anro ker" sheetId="8" r:id="rId8"/>
    <sheet name="Phoenix" sheetId="9" r:id="rId9"/>
    <sheet name="Pörc" sheetId="10" r:id="rId10"/>
    <sheet name="Dél Akku" sheetId="11" r:id="rId11"/>
    <sheet name="Privát" sheetId="12" r:id="rId12"/>
    <sheet name="Szefo" sheetId="13" r:id="rId13"/>
    <sheet name="Guriga" sheetId="14" r:id="rId14"/>
    <sheet name="Postás szakszerv." sheetId="15" r:id="rId15"/>
  </sheets>
  <definedNames/>
  <calcPr fullCalcOnLoad="1"/>
</workbook>
</file>

<file path=xl/sharedStrings.xml><?xml version="1.0" encoding="utf-8"?>
<sst xmlns="http://schemas.openxmlformats.org/spreadsheetml/2006/main" count="1639" uniqueCount="222">
  <si>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</si>
  <si>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</si>
  <si>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</si>
  <si>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</si>
  <si>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</si>
  <si>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</si>
  <si>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</si>
  <si>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</si>
  <si>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</si>
  <si>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</si>
  <si>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</si>
  <si>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</si>
  <si>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</si>
  <si>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</si>
  <si>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</si>
  <si>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</si>
  <si>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</si>
  <si>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</si>
  <si>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Phoenix</t>
  </si>
  <si>
    <t>Guriga</t>
  </si>
  <si>
    <t>Anro Ker</t>
  </si>
  <si>
    <t>Szefo</t>
  </si>
  <si>
    <t>Pörc TC</t>
  </si>
  <si>
    <t>Dél Akku</t>
  </si>
  <si>
    <t>-</t>
  </si>
  <si>
    <t>Postás</t>
  </si>
  <si>
    <t>Szedd Le</t>
  </si>
  <si>
    <t>Santé</t>
  </si>
  <si>
    <t>Amazonok</t>
  </si>
  <si>
    <t>Bolgár</t>
  </si>
  <si>
    <t>Ellenfél</t>
  </si>
  <si>
    <t>Kinizsi</t>
  </si>
  <si>
    <t>Dobók</t>
  </si>
  <si>
    <t>Pörc</t>
  </si>
  <si>
    <t>Anro ker</t>
  </si>
  <si>
    <t xml:space="preserve">Amazonok </t>
  </si>
  <si>
    <t xml:space="preserve">Pörc </t>
  </si>
  <si>
    <t>mérkőzés eredménye</t>
  </si>
  <si>
    <t>ellenfél</t>
  </si>
  <si>
    <t>Össz. dobott fa</t>
  </si>
  <si>
    <t>fa különbség</t>
  </si>
  <si>
    <t>Szedd le</t>
  </si>
  <si>
    <t>Olajos Mihály</t>
  </si>
  <si>
    <t>Győző-Molnár Krisztina</t>
  </si>
  <si>
    <t>Szabó László</t>
  </si>
  <si>
    <t>Iványi László</t>
  </si>
  <si>
    <t>Kaufmann Zoltán</t>
  </si>
  <si>
    <t>Gyuris Gábor</t>
  </si>
  <si>
    <t>Elek-Savanya István</t>
  </si>
  <si>
    <t>Tímár Edina</t>
  </si>
  <si>
    <t>Sáfrány Anita</t>
  </si>
  <si>
    <t>Dobozi Iván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</si>
  <si>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</si>
  <si>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</si>
  <si>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</si>
  <si>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</si>
  <si>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</si>
  <si>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</si>
  <si>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</si>
  <si>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</si>
  <si>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</si>
  <si>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</si>
  <si>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</si>
  <si>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</si>
  <si>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</si>
  <si>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</si>
  <si>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</si>
  <si>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</si>
  <si>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</si>
  <si>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</si>
  <si>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</si>
  <si>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</si>
  <si>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Galgóczy Tibor</t>
  </si>
  <si>
    <t>Dancsó Antal</t>
  </si>
  <si>
    <t>Moráth László</t>
  </si>
  <si>
    <t>Jaksa Tibor</t>
  </si>
  <si>
    <t>Ugrai Antal</t>
  </si>
  <si>
    <t>Balogh László</t>
  </si>
  <si>
    <t>Naschitz Károly</t>
  </si>
  <si>
    <t>Zsódi Imre</t>
  </si>
  <si>
    <t>Lázár János</t>
  </si>
  <si>
    <t>Tompa Panni</t>
  </si>
  <si>
    <t>Szani Péter</t>
  </si>
  <si>
    <t>Ifj. Bogdán Gábor</t>
  </si>
  <si>
    <t>Hollos Imre</t>
  </si>
  <si>
    <t>Hódi Tamás</t>
  </si>
  <si>
    <t>Mező Ferenc</t>
  </si>
  <si>
    <t>Bogdán Gábor</t>
  </si>
  <si>
    <t>Andracsek Roland</t>
  </si>
  <si>
    <t>Kratochwill József</t>
  </si>
  <si>
    <t>Péter Csaba</t>
  </si>
  <si>
    <t>Bodócsi László</t>
  </si>
  <si>
    <t>Mladin István</t>
  </si>
  <si>
    <t>Papp Tamás</t>
  </si>
  <si>
    <t>Péter Norbert</t>
  </si>
  <si>
    <t>Calbert László</t>
  </si>
  <si>
    <t>Majoros Tibor</t>
  </si>
  <si>
    <t>Nagymihályné Böbe</t>
  </si>
  <si>
    <t>Busa Endre</t>
  </si>
  <si>
    <t>Battancs Szilveszter</t>
  </si>
  <si>
    <t>Kerti Róbert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</si>
  <si>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</si>
  <si>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</si>
  <si>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</si>
  <si>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</si>
  <si>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</si>
  <si>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</si>
  <si>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</si>
  <si>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Kamasz Gábor</t>
  </si>
  <si>
    <t>Kalmár László</t>
  </si>
  <si>
    <t>Balogh József</t>
  </si>
  <si>
    <t>Ifj. Sonkoly László</t>
  </si>
  <si>
    <t>Naschitz Katalin</t>
  </si>
  <si>
    <t>Veres Zsolt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</si>
  <si>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</si>
  <si>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</si>
  <si>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</si>
  <si>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</si>
  <si>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</si>
  <si>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</si>
  <si>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Horváth István</t>
  </si>
  <si>
    <t>Miklós Zsolt</t>
  </si>
  <si>
    <t>Balla Sándor</t>
  </si>
  <si>
    <t>Nagymihály Ferenc</t>
  </si>
  <si>
    <t>Frank Antal</t>
  </si>
  <si>
    <t>Csamangó Csaba</t>
  </si>
  <si>
    <t>Szendrei Zsolt</t>
  </si>
  <si>
    <t>Szanyi Géza</t>
  </si>
  <si>
    <t>Kalmár József</t>
  </si>
  <si>
    <t>Németh József</t>
  </si>
  <si>
    <t>Balázs István</t>
  </si>
  <si>
    <t>Buri Jenő</t>
  </si>
  <si>
    <t>Kórász Anna</t>
  </si>
  <si>
    <t>Ferenczi László</t>
  </si>
  <si>
    <t>Andrássy Csaba</t>
  </si>
  <si>
    <t>Pocsainé Zsuzsa</t>
  </si>
  <si>
    <t>Juhász Tibor</t>
  </si>
  <si>
    <t>Bolgár Tamás</t>
  </si>
  <si>
    <t>Nagy-Dani Károly</t>
  </si>
  <si>
    <t>Forró Anita</t>
  </si>
  <si>
    <t>Rimanoczy Tiván</t>
  </si>
  <si>
    <t>Papp Péter</t>
  </si>
  <si>
    <t>Kovács Orsolya</t>
  </si>
  <si>
    <t>Szerzett pontok</t>
  </si>
  <si>
    <t>Szett állás</t>
  </si>
  <si>
    <t>Össz pontszám:</t>
  </si>
  <si>
    <t>Faragó Zoltán</t>
  </si>
  <si>
    <t>Kecse-Nagy Sándor</t>
  </si>
  <si>
    <t>Eperjesi József</t>
  </si>
  <si>
    <t>Márta Sándor</t>
  </si>
  <si>
    <t>Andracsek Tibor</t>
  </si>
  <si>
    <t>Gömöri József</t>
  </si>
  <si>
    <t>Gál Zoltán</t>
  </si>
  <si>
    <t>Kovács Béla</t>
  </si>
  <si>
    <t>Gyöngyösi Mária</t>
  </si>
  <si>
    <t>Tóth Tibor</t>
  </si>
  <si>
    <t>Berek Tibor</t>
  </si>
  <si>
    <t>Horváth Ibolya</t>
  </si>
  <si>
    <t>Vámosi Lukács</t>
  </si>
  <si>
    <t>szett különbség</t>
  </si>
  <si>
    <t>Dávid László</t>
  </si>
  <si>
    <t>Vukovic Igor</t>
  </si>
  <si>
    <t>Bódi Tibor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</si>
  <si>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</si>
  <si>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</si>
  <si>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</si>
  <si>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</si>
  <si>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</si>
  <si>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</si>
  <si>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</si>
  <si>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Török Attila</t>
  </si>
  <si>
    <t>Tót Szabolcs</t>
  </si>
  <si>
    <t>Kaszás Zoltán</t>
  </si>
  <si>
    <t>Karsai Ferenc</t>
  </si>
  <si>
    <t>Horváth Hajni</t>
  </si>
  <si>
    <t>Ótott Katalin</t>
  </si>
  <si>
    <t>Kővágó György</t>
  </si>
  <si>
    <t>Tóth Andrea</t>
  </si>
  <si>
    <t>Bordás László</t>
  </si>
  <si>
    <t>Torma M</t>
  </si>
  <si>
    <t>HÉTFŐ</t>
  </si>
  <si>
    <t>17.00</t>
  </si>
  <si>
    <t>KINIZSI  pálya</t>
  </si>
  <si>
    <t>Hazai mérkőzése</t>
  </si>
  <si>
    <t>18.00</t>
  </si>
  <si>
    <t>17.30</t>
  </si>
  <si>
    <t>KISSTADION</t>
  </si>
  <si>
    <t>SZERDA</t>
  </si>
  <si>
    <t>19.00</t>
  </si>
  <si>
    <t>CSÜTÖRTÖK</t>
  </si>
  <si>
    <t>PÉNTEK</t>
  </si>
  <si>
    <t>16.00</t>
  </si>
  <si>
    <t>Bárkai Krisztián</t>
  </si>
  <si>
    <t>Lele József</t>
  </si>
  <si>
    <t>Németh István</t>
  </si>
  <si>
    <t>Szabó István</t>
  </si>
  <si>
    <t>Csíszér Előd</t>
  </si>
  <si>
    <t>Szögi Zoltán</t>
  </si>
  <si>
    <t>16. forduló</t>
  </si>
  <si>
    <t>Össz. Szettpont</t>
  </si>
  <si>
    <t>Össz. Pont</t>
  </si>
  <si>
    <t xml:space="preserve">Phoenix </t>
  </si>
  <si>
    <t>17. forduló</t>
  </si>
  <si>
    <t>Rakonczai Tibor</t>
  </si>
  <si>
    <t>18. forduló</t>
  </si>
  <si>
    <t>19. forduló</t>
  </si>
  <si>
    <t>Izsák Gábor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</si>
  <si>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</si>
  <si>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</si>
  <si>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</si>
  <si>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</si>
  <si>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</si>
  <si>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</si>
  <si>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</si>
  <si>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</si>
  <si>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</si>
  <si>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</si>
  <si>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</si>
  <si>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Rangasz Pál</t>
  </si>
  <si>
    <t>Molnár Antal</t>
  </si>
  <si>
    <t>Zsoldi Mária</t>
  </si>
  <si>
    <t>Nagy _János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</si>
</sst>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12"/>
      <name val="Times New Roman"/>
      <family val="1"/>
    </font>
    <font>
      <sz val="10"/>
      <color indexed="12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2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89" zoomScaleNormal="89" workbookViewId="0" topLeftCell="A25">
      <selection activeCell="P45" sqref="P45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9.75390625" style="1" customWidth="1"/>
    <col min="5" max="10" width="9.125" style="1" customWidth="1"/>
    <col min="11" max="11" width="11.2539062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8" max="18" width="9.125" style="2" customWidth="1"/>
    <col min="19" max="19" width="15.00390625" style="2" bestFit="1" customWidth="1"/>
    <col min="20" max="20" width="9.125" style="2" customWidth="1"/>
  </cols>
  <sheetData>
    <row r="1" spans="3:15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</row>
    <row r="2" spans="2:17" ht="32.25" thickBot="1">
      <c r="B2" s="3" t="s">
        <v>30</v>
      </c>
      <c r="C2" s="13" t="s">
        <v>53</v>
      </c>
      <c r="D2" s="13" t="s">
        <v>54</v>
      </c>
      <c r="E2" s="13" t="s">
        <v>55</v>
      </c>
      <c r="F2" s="13" t="s">
        <v>56</v>
      </c>
      <c r="G2" s="13" t="s">
        <v>57</v>
      </c>
      <c r="H2" s="13" t="s">
        <v>58</v>
      </c>
      <c r="I2" s="13" t="s">
        <v>136</v>
      </c>
      <c r="J2" s="13" t="s">
        <v>167</v>
      </c>
      <c r="K2" s="13" t="s">
        <v>158</v>
      </c>
      <c r="L2" s="13" t="s">
        <v>162</v>
      </c>
      <c r="M2" s="3" t="s">
        <v>39</v>
      </c>
      <c r="N2" s="3" t="s">
        <v>31</v>
      </c>
      <c r="O2" s="3" t="s">
        <v>38</v>
      </c>
      <c r="P2" s="3" t="s">
        <v>40</v>
      </c>
      <c r="Q2" s="15" t="s">
        <v>143</v>
      </c>
    </row>
    <row r="3" spans="1:20" s="32" customFormat="1" ht="15.75">
      <c r="A3" s="26" t="s">
        <v>0</v>
      </c>
      <c r="B3" s="26" t="s">
        <v>23</v>
      </c>
      <c r="C3" s="27">
        <v>441</v>
      </c>
      <c r="D3" s="28">
        <v>404</v>
      </c>
      <c r="E3" s="28">
        <v>413</v>
      </c>
      <c r="F3" s="28"/>
      <c r="G3" s="27">
        <v>475</v>
      </c>
      <c r="H3" s="27">
        <v>441</v>
      </c>
      <c r="I3" s="28"/>
      <c r="J3" s="28"/>
      <c r="K3" s="28">
        <v>357</v>
      </c>
      <c r="L3" s="29"/>
      <c r="M3" s="30">
        <f>SUM(C3:L3)</f>
        <v>2531</v>
      </c>
      <c r="N3" s="26">
        <v>5</v>
      </c>
      <c r="O3" s="26">
        <v>3</v>
      </c>
      <c r="P3" s="26">
        <v>14</v>
      </c>
      <c r="Q3" s="26">
        <v>2</v>
      </c>
      <c r="R3" s="31"/>
      <c r="S3" s="31"/>
      <c r="T3" s="31"/>
    </row>
    <row r="4" spans="1:20" s="41" customFormat="1" ht="15.75">
      <c r="A4" s="36" t="s">
        <v>1</v>
      </c>
      <c r="B4" s="36" t="s">
        <v>18</v>
      </c>
      <c r="C4" s="37"/>
      <c r="D4" s="37"/>
      <c r="E4" s="85">
        <v>453</v>
      </c>
      <c r="F4" s="85">
        <v>439</v>
      </c>
      <c r="G4" s="85">
        <v>478</v>
      </c>
      <c r="H4" s="37"/>
      <c r="I4" s="37">
        <v>402</v>
      </c>
      <c r="J4" s="37">
        <v>406</v>
      </c>
      <c r="K4" s="37"/>
      <c r="L4" s="84">
        <v>506</v>
      </c>
      <c r="M4" s="39">
        <f aca="true" t="shared" si="0" ref="M4:M17">SUM(C4:L4)</f>
        <v>2684</v>
      </c>
      <c r="N4" s="36">
        <v>6</v>
      </c>
      <c r="O4" s="36">
        <v>2</v>
      </c>
      <c r="P4" s="39">
        <f>M4-2508</f>
        <v>176</v>
      </c>
      <c r="Q4" s="36">
        <v>2</v>
      </c>
      <c r="R4" s="40"/>
      <c r="S4" s="40"/>
      <c r="T4" s="40"/>
    </row>
    <row r="5" spans="1:20" s="32" customFormat="1" ht="15.75">
      <c r="A5" s="26" t="s">
        <v>2</v>
      </c>
      <c r="B5" s="26" t="s">
        <v>26</v>
      </c>
      <c r="C5" s="87">
        <v>492</v>
      </c>
      <c r="D5" s="28"/>
      <c r="E5" s="28">
        <v>435</v>
      </c>
      <c r="F5" s="28">
        <v>428</v>
      </c>
      <c r="G5" s="27">
        <v>477</v>
      </c>
      <c r="H5" s="28"/>
      <c r="I5" s="28"/>
      <c r="J5" s="28">
        <v>427</v>
      </c>
      <c r="K5" s="28"/>
      <c r="L5" s="89">
        <v>515</v>
      </c>
      <c r="M5" s="30">
        <f t="shared" si="0"/>
        <v>2774</v>
      </c>
      <c r="N5" s="26">
        <v>5</v>
      </c>
      <c r="O5" s="26">
        <v>3</v>
      </c>
      <c r="P5" s="26">
        <v>169</v>
      </c>
      <c r="Q5" s="26">
        <v>2</v>
      </c>
      <c r="R5" s="31"/>
      <c r="S5" s="31"/>
      <c r="T5" s="31"/>
    </row>
    <row r="6" spans="1:20" s="41" customFormat="1" ht="15.75">
      <c r="A6" s="36" t="s">
        <v>3</v>
      </c>
      <c r="B6" s="36" t="s">
        <v>27</v>
      </c>
      <c r="C6" s="36"/>
      <c r="D6" s="37"/>
      <c r="E6" s="37">
        <v>437</v>
      </c>
      <c r="F6" s="37">
        <v>396</v>
      </c>
      <c r="G6" s="85">
        <v>481</v>
      </c>
      <c r="H6" s="37"/>
      <c r="I6" s="85">
        <v>447</v>
      </c>
      <c r="J6" s="37">
        <v>444</v>
      </c>
      <c r="K6" s="37"/>
      <c r="L6" s="84">
        <v>493</v>
      </c>
      <c r="M6" s="39">
        <f t="shared" si="0"/>
        <v>2698</v>
      </c>
      <c r="N6" s="36">
        <v>5</v>
      </c>
      <c r="O6" s="36">
        <v>3</v>
      </c>
      <c r="P6" s="36">
        <v>37</v>
      </c>
      <c r="Q6" s="36">
        <v>2</v>
      </c>
      <c r="R6" s="40"/>
      <c r="S6" s="40"/>
      <c r="T6" s="40"/>
    </row>
    <row r="7" spans="1:20" s="32" customFormat="1" ht="15.75">
      <c r="A7" s="26" t="s">
        <v>4</v>
      </c>
      <c r="B7" s="26" t="s">
        <v>20</v>
      </c>
      <c r="C7" s="26"/>
      <c r="D7" s="28"/>
      <c r="E7" s="27">
        <v>433</v>
      </c>
      <c r="F7" s="28"/>
      <c r="G7" s="28"/>
      <c r="H7" s="27">
        <v>428</v>
      </c>
      <c r="I7" s="27">
        <v>414</v>
      </c>
      <c r="J7" s="28">
        <v>409</v>
      </c>
      <c r="K7" s="28">
        <v>409</v>
      </c>
      <c r="L7" s="89">
        <v>474</v>
      </c>
      <c r="M7" s="30">
        <f t="shared" si="0"/>
        <v>2567</v>
      </c>
      <c r="N7" s="26">
        <v>6</v>
      </c>
      <c r="O7" s="26">
        <v>2</v>
      </c>
      <c r="P7" s="26">
        <v>110</v>
      </c>
      <c r="Q7" s="26">
        <v>2</v>
      </c>
      <c r="R7" s="31"/>
      <c r="S7" s="31"/>
      <c r="T7" s="31"/>
    </row>
    <row r="8" spans="1:20" s="41" customFormat="1" ht="15.75">
      <c r="A8" s="36" t="s">
        <v>5</v>
      </c>
      <c r="B8" s="36" t="s">
        <v>28</v>
      </c>
      <c r="C8" s="67">
        <v>465</v>
      </c>
      <c r="D8" s="37"/>
      <c r="E8" s="85">
        <v>450</v>
      </c>
      <c r="F8" s="37"/>
      <c r="G8" s="85">
        <v>460</v>
      </c>
      <c r="H8" s="37"/>
      <c r="I8" s="37">
        <v>432</v>
      </c>
      <c r="J8" s="37">
        <v>414</v>
      </c>
      <c r="K8" s="37"/>
      <c r="L8" s="84">
        <v>458</v>
      </c>
      <c r="M8" s="39">
        <f t="shared" si="0"/>
        <v>2679</v>
      </c>
      <c r="N8" s="36">
        <v>6</v>
      </c>
      <c r="O8" s="36">
        <v>2</v>
      </c>
      <c r="P8" s="39">
        <f>M8-2563</f>
        <v>116</v>
      </c>
      <c r="Q8" s="36">
        <v>2</v>
      </c>
      <c r="R8" s="40"/>
      <c r="S8" s="40"/>
      <c r="T8" s="40"/>
    </row>
    <row r="9" spans="1:20" s="32" customFormat="1" ht="15.75">
      <c r="A9" s="26" t="s">
        <v>6</v>
      </c>
      <c r="B9" s="26" t="s">
        <v>16</v>
      </c>
      <c r="C9" s="26">
        <v>442</v>
      </c>
      <c r="D9" s="28">
        <v>435</v>
      </c>
      <c r="E9" s="28">
        <v>418</v>
      </c>
      <c r="F9" s="28"/>
      <c r="G9" s="27">
        <v>459</v>
      </c>
      <c r="H9" s="28"/>
      <c r="I9" s="28">
        <v>441</v>
      </c>
      <c r="J9" s="28"/>
      <c r="K9" s="28"/>
      <c r="L9" s="89">
        <v>472</v>
      </c>
      <c r="M9" s="30">
        <f t="shared" si="0"/>
        <v>2667</v>
      </c>
      <c r="N9" s="26">
        <v>4</v>
      </c>
      <c r="O9" s="26">
        <v>4</v>
      </c>
      <c r="P9" s="30">
        <v>20</v>
      </c>
      <c r="Q9" s="26">
        <v>1</v>
      </c>
      <c r="R9" s="31"/>
      <c r="S9" s="31"/>
      <c r="T9" s="31"/>
    </row>
    <row r="10" spans="1:20" s="41" customFormat="1" ht="15.75">
      <c r="A10" s="36" t="s">
        <v>7</v>
      </c>
      <c r="B10" s="36" t="s">
        <v>15</v>
      </c>
      <c r="C10" s="36">
        <v>422</v>
      </c>
      <c r="D10" s="85">
        <v>430</v>
      </c>
      <c r="E10" s="37"/>
      <c r="F10" s="37"/>
      <c r="G10" s="37">
        <v>423</v>
      </c>
      <c r="H10" s="37"/>
      <c r="I10" s="85">
        <v>459</v>
      </c>
      <c r="J10" s="85">
        <v>481</v>
      </c>
      <c r="K10" s="37"/>
      <c r="L10" s="84">
        <v>477</v>
      </c>
      <c r="M10" s="39">
        <f t="shared" si="0"/>
        <v>2692</v>
      </c>
      <c r="N10" s="36">
        <v>6</v>
      </c>
      <c r="O10" s="36">
        <v>2</v>
      </c>
      <c r="P10" s="36">
        <v>159</v>
      </c>
      <c r="Q10" s="36">
        <v>2</v>
      </c>
      <c r="R10" s="40"/>
      <c r="S10" s="40"/>
      <c r="T10" s="40"/>
    </row>
    <row r="11" spans="1:20" s="32" customFormat="1" ht="15.75">
      <c r="A11" s="26" t="s">
        <v>8</v>
      </c>
      <c r="B11" s="26" t="s">
        <v>17</v>
      </c>
      <c r="C11" s="26">
        <v>384</v>
      </c>
      <c r="D11" s="26">
        <v>436</v>
      </c>
      <c r="E11" s="26"/>
      <c r="F11" s="26"/>
      <c r="G11" s="87">
        <v>449</v>
      </c>
      <c r="H11" s="26"/>
      <c r="I11" s="87">
        <v>451</v>
      </c>
      <c r="J11" s="87">
        <v>470</v>
      </c>
      <c r="K11" s="26"/>
      <c r="L11" s="89">
        <v>503</v>
      </c>
      <c r="M11" s="30">
        <f t="shared" si="0"/>
        <v>2693</v>
      </c>
      <c r="N11" s="26">
        <v>6</v>
      </c>
      <c r="O11" s="26">
        <v>2</v>
      </c>
      <c r="P11" s="26">
        <v>93</v>
      </c>
      <c r="Q11" s="26">
        <v>2</v>
      </c>
      <c r="R11" s="31"/>
      <c r="S11" s="31"/>
      <c r="T11" s="31"/>
    </row>
    <row r="12" spans="1:13" ht="15.75">
      <c r="A12" s="1" t="s">
        <v>9</v>
      </c>
      <c r="B12" s="21" t="s">
        <v>24</v>
      </c>
      <c r="D12" s="21"/>
      <c r="E12" s="21"/>
      <c r="F12" s="21"/>
      <c r="G12" s="21"/>
      <c r="H12" s="21"/>
      <c r="I12" s="21"/>
      <c r="J12" s="21"/>
      <c r="K12" s="21"/>
      <c r="L12" s="25"/>
      <c r="M12" s="7">
        <f t="shared" si="0"/>
        <v>0</v>
      </c>
    </row>
    <row r="13" spans="1:20" s="32" customFormat="1" ht="15.75">
      <c r="A13" s="26" t="s">
        <v>10</v>
      </c>
      <c r="B13" s="26" t="s">
        <v>19</v>
      </c>
      <c r="C13" s="26"/>
      <c r="D13" s="27">
        <v>435</v>
      </c>
      <c r="E13" s="28">
        <v>408</v>
      </c>
      <c r="F13" s="28"/>
      <c r="G13" s="28"/>
      <c r="H13" s="28"/>
      <c r="I13" s="27">
        <v>455</v>
      </c>
      <c r="J13" s="27">
        <v>426</v>
      </c>
      <c r="K13" s="27">
        <v>425</v>
      </c>
      <c r="L13" s="89">
        <v>467</v>
      </c>
      <c r="M13" s="30">
        <f t="shared" si="0"/>
        <v>2616</v>
      </c>
      <c r="N13" s="26">
        <v>7</v>
      </c>
      <c r="O13" s="26">
        <v>1</v>
      </c>
      <c r="P13" s="30">
        <f>M13-2412</f>
        <v>204</v>
      </c>
      <c r="Q13" s="26">
        <v>2</v>
      </c>
      <c r="R13" s="31"/>
      <c r="S13" s="31"/>
      <c r="T13" s="31"/>
    </row>
    <row r="14" spans="1:20" s="41" customFormat="1" ht="15.75">
      <c r="A14" s="36" t="s">
        <v>11</v>
      </c>
      <c r="B14" s="36" t="s">
        <v>21</v>
      </c>
      <c r="C14" s="67">
        <v>432</v>
      </c>
      <c r="D14" s="85">
        <v>437</v>
      </c>
      <c r="E14" s="37"/>
      <c r="F14" s="37"/>
      <c r="G14" s="85">
        <v>453</v>
      </c>
      <c r="H14" s="37">
        <v>404</v>
      </c>
      <c r="I14" s="37"/>
      <c r="J14" s="85">
        <v>438</v>
      </c>
      <c r="K14" s="37">
        <v>412</v>
      </c>
      <c r="L14" s="38"/>
      <c r="M14" s="39">
        <f t="shared" si="0"/>
        <v>2576</v>
      </c>
      <c r="N14" s="36">
        <v>6</v>
      </c>
      <c r="O14" s="36">
        <v>2</v>
      </c>
      <c r="P14" s="39">
        <f>M14-2329</f>
        <v>247</v>
      </c>
      <c r="Q14" s="36">
        <v>2</v>
      </c>
      <c r="R14" s="40"/>
      <c r="S14" s="40"/>
      <c r="T14" s="40"/>
    </row>
    <row r="15" spans="1:20" s="32" customFormat="1" ht="15.75">
      <c r="A15" s="26" t="s">
        <v>12</v>
      </c>
      <c r="B15" s="26" t="s">
        <v>22</v>
      </c>
      <c r="C15" s="26"/>
      <c r="D15" s="28"/>
      <c r="E15" s="27">
        <v>444</v>
      </c>
      <c r="F15" s="28">
        <v>408</v>
      </c>
      <c r="G15" s="27">
        <v>444</v>
      </c>
      <c r="H15" s="27">
        <v>431</v>
      </c>
      <c r="I15" s="27">
        <v>462</v>
      </c>
      <c r="J15" s="28"/>
      <c r="K15" s="28">
        <v>397</v>
      </c>
      <c r="L15" s="29"/>
      <c r="M15" s="30">
        <f t="shared" si="0"/>
        <v>2586</v>
      </c>
      <c r="N15" s="26">
        <v>6</v>
      </c>
      <c r="O15" s="26">
        <v>2</v>
      </c>
      <c r="P15" s="26">
        <v>74</v>
      </c>
      <c r="Q15" s="26">
        <v>2</v>
      </c>
      <c r="R15" s="31"/>
      <c r="S15" s="31"/>
      <c r="T15" s="31"/>
    </row>
    <row r="16" spans="1:20" s="41" customFormat="1" ht="15.75">
      <c r="A16" s="36" t="s">
        <v>13</v>
      </c>
      <c r="B16" s="36" t="s">
        <v>25</v>
      </c>
      <c r="C16" s="67">
        <v>407</v>
      </c>
      <c r="D16" s="37">
        <v>407</v>
      </c>
      <c r="E16" s="37"/>
      <c r="F16" s="37"/>
      <c r="G16" s="85">
        <v>443</v>
      </c>
      <c r="H16" s="85">
        <v>437</v>
      </c>
      <c r="I16" s="85">
        <v>429</v>
      </c>
      <c r="J16" s="37"/>
      <c r="K16" s="85">
        <v>459</v>
      </c>
      <c r="L16" s="38"/>
      <c r="M16" s="39">
        <f t="shared" si="0"/>
        <v>2582</v>
      </c>
      <c r="N16" s="36">
        <v>7</v>
      </c>
      <c r="O16" s="36">
        <v>1</v>
      </c>
      <c r="P16" s="39">
        <f>M16-2409</f>
        <v>173</v>
      </c>
      <c r="Q16" s="36">
        <v>2</v>
      </c>
      <c r="R16" s="40"/>
      <c r="S16" s="40"/>
      <c r="T16" s="40"/>
    </row>
    <row r="17" spans="1:20" s="32" customFormat="1" ht="16.5" thickBot="1">
      <c r="A17" s="26" t="s">
        <v>14</v>
      </c>
      <c r="B17" s="26" t="s">
        <v>29</v>
      </c>
      <c r="C17" s="33">
        <v>434</v>
      </c>
      <c r="D17" s="99">
        <v>447</v>
      </c>
      <c r="E17" s="33"/>
      <c r="F17" s="33"/>
      <c r="G17" s="33">
        <v>429</v>
      </c>
      <c r="H17" s="33"/>
      <c r="I17" s="99">
        <v>454</v>
      </c>
      <c r="J17" s="99">
        <v>456</v>
      </c>
      <c r="K17" s="33"/>
      <c r="L17" s="98">
        <v>482</v>
      </c>
      <c r="M17" s="74">
        <f t="shared" si="0"/>
        <v>2702</v>
      </c>
      <c r="N17" s="35">
        <v>6</v>
      </c>
      <c r="O17" s="35">
        <v>2</v>
      </c>
      <c r="P17" s="35">
        <v>168</v>
      </c>
      <c r="Q17" s="35">
        <v>2</v>
      </c>
      <c r="R17" s="31"/>
      <c r="S17" s="31"/>
      <c r="T17" s="31"/>
    </row>
    <row r="18" spans="3:12" ht="16.5" thickTop="1">
      <c r="C18" s="7">
        <f>SUM(C3:C17)</f>
        <v>3919</v>
      </c>
      <c r="D18" s="7">
        <f aca="true" t="shared" si="1" ref="D18:L18">SUM(D3:D17)</f>
        <v>3431</v>
      </c>
      <c r="E18" s="7">
        <f t="shared" si="1"/>
        <v>3891</v>
      </c>
      <c r="F18" s="7">
        <f t="shared" si="1"/>
        <v>1671</v>
      </c>
      <c r="G18" s="7">
        <f t="shared" si="1"/>
        <v>5471</v>
      </c>
      <c r="H18" s="7">
        <f t="shared" si="1"/>
        <v>2141</v>
      </c>
      <c r="I18" s="7">
        <f t="shared" si="1"/>
        <v>4846</v>
      </c>
      <c r="J18" s="7">
        <f t="shared" si="1"/>
        <v>4371</v>
      </c>
      <c r="K18" s="7">
        <f t="shared" si="1"/>
        <v>2459</v>
      </c>
      <c r="L18" s="7">
        <f t="shared" si="1"/>
        <v>4847</v>
      </c>
    </row>
    <row r="19" spans="2:19" ht="33" customHeight="1">
      <c r="B19" s="16" t="s">
        <v>163</v>
      </c>
      <c r="C19" s="22">
        <f>C18/9</f>
        <v>435.44444444444446</v>
      </c>
      <c r="D19" s="22">
        <f>D18/8</f>
        <v>428.875</v>
      </c>
      <c r="E19" s="22">
        <f>E18/9</f>
        <v>432.3333333333333</v>
      </c>
      <c r="F19" s="22">
        <f>F18/4</f>
        <v>417.75</v>
      </c>
      <c r="G19" s="22">
        <f>G18/12</f>
        <v>455.9166666666667</v>
      </c>
      <c r="H19" s="22">
        <f>H18/5</f>
        <v>428.2</v>
      </c>
      <c r="I19" s="22">
        <f>I18/11</f>
        <v>440.54545454545456</v>
      </c>
      <c r="J19" s="22">
        <f>J18/10</f>
        <v>437.1</v>
      </c>
      <c r="K19" s="22">
        <f>K18/6</f>
        <v>409.8333333333333</v>
      </c>
      <c r="L19" s="22">
        <f>L18/10</f>
        <v>484.7</v>
      </c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37047</v>
      </c>
      <c r="N20" s="1">
        <f>SUM(N3:N17)</f>
        <v>81</v>
      </c>
      <c r="O20" s="1">
        <f>SUM(O3:O17)</f>
        <v>31</v>
      </c>
      <c r="P20" s="1">
        <f>SUM(P3:P17)</f>
        <v>1760</v>
      </c>
      <c r="Q20" s="1">
        <f>SUM(Q3:Q17)</f>
        <v>27</v>
      </c>
      <c r="S20" s="2">
        <f>N20-O20</f>
        <v>50</v>
      </c>
    </row>
    <row r="21" spans="3:4" ht="15.75">
      <c r="C21" s="119" t="s">
        <v>52</v>
      </c>
      <c r="D21" s="119"/>
    </row>
    <row r="22" spans="3:14" ht="15.75">
      <c r="C22" s="116" t="s">
        <v>168</v>
      </c>
      <c r="D22" s="116"/>
      <c r="M22" s="1" t="s">
        <v>164</v>
      </c>
      <c r="N22" s="24">
        <f>SUM(M3:M17)/14</f>
        <v>2646.214285714286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1:13" ht="15.75">
      <c r="A25" s="92" t="s">
        <v>183</v>
      </c>
      <c r="C25" s="86" t="s">
        <v>180</v>
      </c>
      <c r="D25" s="86" t="s">
        <v>181</v>
      </c>
      <c r="E25" s="91" t="s">
        <v>182</v>
      </c>
      <c r="I25" s="1">
        <f>N20+N45</f>
        <v>155</v>
      </c>
      <c r="J25" s="1">
        <f>O20+O45</f>
        <v>69</v>
      </c>
      <c r="K25" s="1">
        <f>Q20+Q45</f>
        <v>49</v>
      </c>
      <c r="L25" s="115">
        <f>I25-J25</f>
        <v>86</v>
      </c>
      <c r="M25" s="115"/>
    </row>
    <row r="26" spans="1:5" ht="15.75">
      <c r="A26" s="92"/>
      <c r="C26" s="86"/>
      <c r="D26" s="86"/>
      <c r="E26" s="91"/>
    </row>
    <row r="27" spans="1:5" ht="15.75">
      <c r="A27" s="92"/>
      <c r="C27" s="86"/>
      <c r="D27" s="86"/>
      <c r="E27" s="91"/>
    </row>
    <row r="28" ht="15.75">
      <c r="F28" s="86"/>
    </row>
    <row r="29" spans="2:17" ht="32.25" thickBot="1">
      <c r="B29" s="3" t="s">
        <v>30</v>
      </c>
      <c r="C29" s="13" t="s">
        <v>53</v>
      </c>
      <c r="D29" s="13" t="s">
        <v>54</v>
      </c>
      <c r="E29" s="13" t="s">
        <v>55</v>
      </c>
      <c r="F29" s="13" t="s">
        <v>56</v>
      </c>
      <c r="G29" s="13" t="s">
        <v>57</v>
      </c>
      <c r="H29" s="13" t="s">
        <v>58</v>
      </c>
      <c r="I29" s="13" t="s">
        <v>136</v>
      </c>
      <c r="J29" s="13" t="s">
        <v>167</v>
      </c>
      <c r="K29" s="13" t="s">
        <v>158</v>
      </c>
      <c r="L29" s="13" t="s">
        <v>162</v>
      </c>
      <c r="M29" s="3" t="s">
        <v>39</v>
      </c>
      <c r="N29" s="3" t="s">
        <v>31</v>
      </c>
      <c r="O29" s="3" t="s">
        <v>38</v>
      </c>
      <c r="P29" s="3" t="s">
        <v>40</v>
      </c>
      <c r="Q29" s="15" t="s">
        <v>143</v>
      </c>
    </row>
    <row r="30" spans="1:17" ht="15.75">
      <c r="A30" s="26" t="s">
        <v>198</v>
      </c>
      <c r="B30" s="26" t="s">
        <v>15</v>
      </c>
      <c r="C30" s="26">
        <v>424</v>
      </c>
      <c r="D30" s="26"/>
      <c r="E30" s="26"/>
      <c r="F30" s="87">
        <v>446</v>
      </c>
      <c r="G30" s="26"/>
      <c r="H30" s="26">
        <v>391</v>
      </c>
      <c r="I30" s="26">
        <v>418</v>
      </c>
      <c r="J30" s="26">
        <v>431</v>
      </c>
      <c r="K30" s="26"/>
      <c r="L30" s="87">
        <v>485</v>
      </c>
      <c r="M30" s="26">
        <f>SUM(C30:L30)</f>
        <v>2595</v>
      </c>
      <c r="N30" s="26">
        <v>2</v>
      </c>
      <c r="O30" s="26">
        <v>6</v>
      </c>
      <c r="P30" s="26">
        <f>M30-2615</f>
        <v>-20</v>
      </c>
      <c r="Q30" s="26">
        <v>0</v>
      </c>
    </row>
    <row r="31" spans="1:20" s="41" customFormat="1" ht="15.75">
      <c r="A31" s="36" t="s">
        <v>202</v>
      </c>
      <c r="B31" s="36" t="s">
        <v>16</v>
      </c>
      <c r="C31" s="36"/>
      <c r="D31" s="36">
        <v>402</v>
      </c>
      <c r="E31" s="36"/>
      <c r="F31" s="36">
        <v>377</v>
      </c>
      <c r="G31" s="67">
        <v>471</v>
      </c>
      <c r="H31" s="36"/>
      <c r="I31" s="67">
        <v>450</v>
      </c>
      <c r="J31" s="36">
        <v>409</v>
      </c>
      <c r="K31" s="36"/>
      <c r="L31" s="67">
        <v>462</v>
      </c>
      <c r="M31" s="36">
        <f>SUM(C31:L31)</f>
        <v>2571</v>
      </c>
      <c r="N31" s="36">
        <v>5</v>
      </c>
      <c r="O31" s="36">
        <v>3</v>
      </c>
      <c r="P31" s="36">
        <v>38</v>
      </c>
      <c r="Q31" s="36">
        <v>2</v>
      </c>
      <c r="R31" s="40"/>
      <c r="S31" s="40"/>
      <c r="T31" s="40"/>
    </row>
    <row r="32" spans="1:20" s="32" customFormat="1" ht="15.75">
      <c r="A32" s="26" t="s">
        <v>204</v>
      </c>
      <c r="B32" s="26" t="s">
        <v>28</v>
      </c>
      <c r="C32" s="87">
        <v>445</v>
      </c>
      <c r="D32" s="26"/>
      <c r="E32" s="26">
        <v>437</v>
      </c>
      <c r="F32" s="26"/>
      <c r="G32" s="26">
        <v>443</v>
      </c>
      <c r="H32" s="26"/>
      <c r="I32" s="87">
        <v>444</v>
      </c>
      <c r="J32" s="26">
        <v>419</v>
      </c>
      <c r="K32" s="26"/>
      <c r="L32" s="87">
        <v>454</v>
      </c>
      <c r="M32" s="26">
        <f>SUM(C32:L32)</f>
        <v>2642</v>
      </c>
      <c r="N32" s="26">
        <v>3</v>
      </c>
      <c r="O32" s="26">
        <v>5</v>
      </c>
      <c r="P32" s="26">
        <v>14</v>
      </c>
      <c r="Q32" s="26">
        <v>0</v>
      </c>
      <c r="R32" s="31"/>
      <c r="S32" s="31"/>
      <c r="T32" s="31"/>
    </row>
    <row r="33" spans="1:20" s="41" customFormat="1" ht="15.75">
      <c r="A33" s="36" t="s">
        <v>205</v>
      </c>
      <c r="B33" s="36" t="s">
        <v>20</v>
      </c>
      <c r="C33" s="36">
        <v>423</v>
      </c>
      <c r="D33" s="36">
        <v>407</v>
      </c>
      <c r="E33" s="67">
        <v>459</v>
      </c>
      <c r="F33" s="36"/>
      <c r="G33" s="36"/>
      <c r="H33" s="36"/>
      <c r="I33" s="67">
        <v>435</v>
      </c>
      <c r="J33" s="67">
        <v>452</v>
      </c>
      <c r="K33" s="36"/>
      <c r="L33" s="67">
        <v>435</v>
      </c>
      <c r="M33" s="36">
        <f>SUM(C33:L33)</f>
        <v>2611</v>
      </c>
      <c r="N33" s="36">
        <v>6</v>
      </c>
      <c r="O33" s="36">
        <v>2</v>
      </c>
      <c r="P33" s="36">
        <f>M33-2579</f>
        <v>32</v>
      </c>
      <c r="Q33" s="36">
        <v>2</v>
      </c>
      <c r="R33" s="40"/>
      <c r="S33" s="40"/>
      <c r="T33" s="40"/>
    </row>
    <row r="34" spans="1:20" s="32" customFormat="1" ht="15.75">
      <c r="A34" s="26" t="s">
        <v>207</v>
      </c>
      <c r="B34" s="26" t="s">
        <v>27</v>
      </c>
      <c r="C34" s="87">
        <v>430</v>
      </c>
      <c r="D34" s="26"/>
      <c r="E34" s="26">
        <v>422</v>
      </c>
      <c r="F34" s="26"/>
      <c r="G34" s="26">
        <v>426</v>
      </c>
      <c r="H34" s="26"/>
      <c r="I34" s="26">
        <v>415</v>
      </c>
      <c r="J34" s="87">
        <v>445</v>
      </c>
      <c r="K34" s="26"/>
      <c r="L34" s="87">
        <v>469</v>
      </c>
      <c r="M34" s="26">
        <f>SUM(C34:L34)</f>
        <v>2607</v>
      </c>
      <c r="N34" s="26">
        <v>5</v>
      </c>
      <c r="O34" s="26">
        <v>3</v>
      </c>
      <c r="P34" s="26">
        <v>122</v>
      </c>
      <c r="Q34" s="26">
        <v>2</v>
      </c>
      <c r="R34" s="31"/>
      <c r="S34" s="31"/>
      <c r="T34" s="31"/>
    </row>
    <row r="35" spans="1:20" s="41" customFormat="1" ht="15.75">
      <c r="A35" s="36" t="s">
        <v>208</v>
      </c>
      <c r="B35" s="36" t="s">
        <v>26</v>
      </c>
      <c r="C35" s="42">
        <v>430</v>
      </c>
      <c r="D35" s="36"/>
      <c r="E35" s="67">
        <v>442</v>
      </c>
      <c r="F35" s="36"/>
      <c r="G35" s="36">
        <v>441</v>
      </c>
      <c r="H35" s="36"/>
      <c r="I35" s="36">
        <v>424</v>
      </c>
      <c r="J35" s="67">
        <v>442</v>
      </c>
      <c r="K35" s="36"/>
      <c r="L35" s="67">
        <v>474</v>
      </c>
      <c r="M35" s="36">
        <f aca="true" t="shared" si="2" ref="M35:M43">SUM(C35:L35)</f>
        <v>2653</v>
      </c>
      <c r="N35" s="36">
        <v>3</v>
      </c>
      <c r="O35" s="36">
        <v>5</v>
      </c>
      <c r="P35" s="36">
        <v>-3</v>
      </c>
      <c r="Q35" s="36">
        <v>0</v>
      </c>
      <c r="R35" s="40"/>
      <c r="S35" s="40"/>
      <c r="T35" s="40"/>
    </row>
    <row r="36" spans="1:20" s="32" customFormat="1" ht="15.75">
      <c r="A36" s="26" t="s">
        <v>209</v>
      </c>
      <c r="B36" s="26" t="s">
        <v>18</v>
      </c>
      <c r="C36" s="26">
        <v>414</v>
      </c>
      <c r="D36" s="87">
        <v>431</v>
      </c>
      <c r="E36" s="26">
        <v>382</v>
      </c>
      <c r="F36" s="26"/>
      <c r="G36" s="26"/>
      <c r="H36" s="26"/>
      <c r="I36" s="87">
        <v>466</v>
      </c>
      <c r="J36" s="26">
        <v>416</v>
      </c>
      <c r="K36" s="26"/>
      <c r="L36" s="87">
        <v>473</v>
      </c>
      <c r="M36" s="26">
        <f t="shared" si="2"/>
        <v>2582</v>
      </c>
      <c r="N36" s="26">
        <v>5</v>
      </c>
      <c r="O36" s="26">
        <v>3</v>
      </c>
      <c r="P36" s="26">
        <v>21</v>
      </c>
      <c r="Q36" s="26">
        <v>2</v>
      </c>
      <c r="R36" s="31"/>
      <c r="S36" s="31"/>
      <c r="T36" s="31"/>
    </row>
    <row r="37" spans="1:20" s="41" customFormat="1" ht="15.75">
      <c r="A37" s="36" t="s">
        <v>210</v>
      </c>
      <c r="B37" s="36" t="s">
        <v>23</v>
      </c>
      <c r="C37" s="67">
        <v>425</v>
      </c>
      <c r="D37" s="67">
        <v>470</v>
      </c>
      <c r="E37" s="36"/>
      <c r="F37" s="36">
        <v>387</v>
      </c>
      <c r="G37" s="36"/>
      <c r="H37" s="36"/>
      <c r="I37" s="36">
        <v>380</v>
      </c>
      <c r="J37" s="67">
        <v>437</v>
      </c>
      <c r="K37" s="36"/>
      <c r="L37" s="67">
        <v>434</v>
      </c>
      <c r="M37" s="36">
        <f t="shared" si="2"/>
        <v>2533</v>
      </c>
      <c r="N37" s="36">
        <v>6</v>
      </c>
      <c r="O37" s="36">
        <v>2</v>
      </c>
      <c r="P37" s="36">
        <v>49</v>
      </c>
      <c r="Q37" s="36">
        <v>2</v>
      </c>
      <c r="R37" s="40"/>
      <c r="S37" s="40"/>
      <c r="T37" s="40"/>
    </row>
    <row r="38" spans="1:20" s="41" customFormat="1" ht="15.75">
      <c r="A38" s="36" t="s">
        <v>211</v>
      </c>
      <c r="B38" s="36" t="s">
        <v>29</v>
      </c>
      <c r="C38" s="67">
        <v>464</v>
      </c>
      <c r="D38" s="36">
        <v>406</v>
      </c>
      <c r="E38" s="67">
        <v>427</v>
      </c>
      <c r="F38" s="36"/>
      <c r="G38" s="36"/>
      <c r="H38" s="36"/>
      <c r="I38" s="36"/>
      <c r="J38" s="36">
        <v>412</v>
      </c>
      <c r="K38" s="36">
        <v>410</v>
      </c>
      <c r="L38" s="67">
        <v>478</v>
      </c>
      <c r="M38" s="36">
        <f t="shared" si="2"/>
        <v>2597</v>
      </c>
      <c r="N38" s="36">
        <v>5</v>
      </c>
      <c r="O38" s="36">
        <v>3</v>
      </c>
      <c r="P38" s="36">
        <f>M38-2575</f>
        <v>22</v>
      </c>
      <c r="Q38" s="36">
        <v>2</v>
      </c>
      <c r="R38" s="40"/>
      <c r="S38" s="40"/>
      <c r="T38" s="40"/>
    </row>
    <row r="39" spans="1:20" s="32" customFormat="1" ht="15.75">
      <c r="A39" s="26" t="s">
        <v>212</v>
      </c>
      <c r="B39" s="26" t="s">
        <v>25</v>
      </c>
      <c r="C39" s="26"/>
      <c r="D39" s="87">
        <v>405</v>
      </c>
      <c r="E39" s="26"/>
      <c r="F39" s="87">
        <v>400</v>
      </c>
      <c r="G39" s="26"/>
      <c r="H39" s="87">
        <v>401</v>
      </c>
      <c r="I39" s="87">
        <v>441</v>
      </c>
      <c r="J39" s="87">
        <v>433</v>
      </c>
      <c r="K39" s="26"/>
      <c r="L39" s="87">
        <v>472</v>
      </c>
      <c r="M39" s="26">
        <f t="shared" si="2"/>
        <v>2552</v>
      </c>
      <c r="N39" s="26">
        <v>8</v>
      </c>
      <c r="O39" s="26">
        <v>0</v>
      </c>
      <c r="P39" s="26">
        <v>263</v>
      </c>
      <c r="Q39" s="26">
        <v>2</v>
      </c>
      <c r="R39" s="31"/>
      <c r="S39" s="31"/>
      <c r="T39" s="31"/>
    </row>
    <row r="40" spans="1:20" s="41" customFormat="1" ht="15.75">
      <c r="A40" s="36" t="s">
        <v>213</v>
      </c>
      <c r="B40" s="36" t="s">
        <v>33</v>
      </c>
      <c r="C40" s="36"/>
      <c r="D40" s="67">
        <v>447</v>
      </c>
      <c r="E40" s="36"/>
      <c r="F40" s="67">
        <v>451</v>
      </c>
      <c r="G40" s="67">
        <v>424</v>
      </c>
      <c r="H40" s="36"/>
      <c r="I40" s="36"/>
      <c r="J40" s="67">
        <v>445</v>
      </c>
      <c r="K40" s="36">
        <v>401</v>
      </c>
      <c r="L40" s="67">
        <v>500</v>
      </c>
      <c r="M40" s="36">
        <f t="shared" si="2"/>
        <v>2668</v>
      </c>
      <c r="N40" s="36">
        <v>7</v>
      </c>
      <c r="O40" s="36">
        <v>1</v>
      </c>
      <c r="P40" s="36">
        <v>257</v>
      </c>
      <c r="Q40" s="36">
        <v>2</v>
      </c>
      <c r="R40" s="40"/>
      <c r="S40" s="40"/>
      <c r="T40" s="40"/>
    </row>
    <row r="41" spans="1:20" s="32" customFormat="1" ht="15.75">
      <c r="A41" s="26" t="s">
        <v>214</v>
      </c>
      <c r="B41" s="26" t="s">
        <v>21</v>
      </c>
      <c r="C41" s="26"/>
      <c r="D41" s="87">
        <v>421</v>
      </c>
      <c r="E41" s="26"/>
      <c r="F41" s="87">
        <v>427</v>
      </c>
      <c r="G41" s="87">
        <v>425</v>
      </c>
      <c r="H41" s="26">
        <v>414</v>
      </c>
      <c r="I41" s="87">
        <v>431</v>
      </c>
      <c r="J41" s="26"/>
      <c r="K41" s="87">
        <v>447</v>
      </c>
      <c r="L41" s="26"/>
      <c r="M41" s="26">
        <f t="shared" si="2"/>
        <v>2565</v>
      </c>
      <c r="N41" s="26">
        <v>7</v>
      </c>
      <c r="O41" s="26">
        <v>1</v>
      </c>
      <c r="P41" s="26">
        <v>153</v>
      </c>
      <c r="Q41" s="26">
        <v>2</v>
      </c>
      <c r="R41" s="31"/>
      <c r="S41" s="31"/>
      <c r="T41" s="31"/>
    </row>
    <row r="42" spans="1:20" s="41" customFormat="1" ht="15.75">
      <c r="A42" s="36" t="s">
        <v>215</v>
      </c>
      <c r="B42" s="36" t="s">
        <v>19</v>
      </c>
      <c r="C42" s="67">
        <v>413</v>
      </c>
      <c r="D42" s="67">
        <v>440</v>
      </c>
      <c r="E42" s="67">
        <v>417</v>
      </c>
      <c r="F42" s="67">
        <v>440</v>
      </c>
      <c r="G42" s="36"/>
      <c r="H42" s="36">
        <v>403</v>
      </c>
      <c r="I42" s="67">
        <v>462</v>
      </c>
      <c r="J42" s="36"/>
      <c r="K42" s="36"/>
      <c r="L42" s="36"/>
      <c r="M42" s="36">
        <f t="shared" si="2"/>
        <v>2575</v>
      </c>
      <c r="N42" s="36">
        <v>7</v>
      </c>
      <c r="O42" s="36">
        <v>1</v>
      </c>
      <c r="P42" s="36">
        <v>209</v>
      </c>
      <c r="Q42" s="42">
        <v>2</v>
      </c>
      <c r="R42" s="40"/>
      <c r="S42" s="40"/>
      <c r="T42" s="40"/>
    </row>
    <row r="43" spans="1:20" s="104" customFormat="1" ht="15.75">
      <c r="A43" s="103" t="s">
        <v>216</v>
      </c>
      <c r="B43" s="103" t="s">
        <v>24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>
        <f t="shared" si="2"/>
        <v>0</v>
      </c>
      <c r="N43" s="103"/>
      <c r="O43" s="103"/>
      <c r="P43" s="103"/>
      <c r="Q43" s="103"/>
      <c r="R43" s="106"/>
      <c r="S43" s="106"/>
      <c r="T43" s="106"/>
    </row>
    <row r="44" spans="1:20" s="41" customFormat="1" ht="16.5" thickBot="1">
      <c r="A44" s="36" t="s">
        <v>217</v>
      </c>
      <c r="B44" s="36" t="s">
        <v>17</v>
      </c>
      <c r="C44" s="36">
        <v>393</v>
      </c>
      <c r="D44" s="67">
        <v>435</v>
      </c>
      <c r="E44" s="36"/>
      <c r="F44" s="36"/>
      <c r="G44" s="67">
        <v>439</v>
      </c>
      <c r="H44" s="36"/>
      <c r="I44" s="36">
        <v>427</v>
      </c>
      <c r="J44" s="67">
        <v>441</v>
      </c>
      <c r="K44" s="36">
        <v>427</v>
      </c>
      <c r="L44" s="36"/>
      <c r="M44" s="36">
        <f>SUM(C44:L44)</f>
        <v>2562</v>
      </c>
      <c r="N44" s="53">
        <v>5</v>
      </c>
      <c r="O44" s="53">
        <v>3</v>
      </c>
      <c r="P44" s="53">
        <v>10</v>
      </c>
      <c r="Q44" s="53">
        <v>2</v>
      </c>
      <c r="R44" s="40"/>
      <c r="S44" s="40"/>
      <c r="T44" s="40"/>
    </row>
    <row r="45" spans="1:17" ht="16.5" thickTop="1">
      <c r="A45" s="26"/>
      <c r="N45" s="1">
        <f>SUM(N30:N44)</f>
        <v>74</v>
      </c>
      <c r="O45" s="1">
        <f>SUM(O30:O44)</f>
        <v>38</v>
      </c>
      <c r="P45" s="1">
        <f>SUM(P30:P44)</f>
        <v>1167</v>
      </c>
      <c r="Q45" s="1">
        <f>SUM(Q30:Q44)</f>
        <v>22</v>
      </c>
    </row>
  </sheetData>
  <mergeCells count="9">
    <mergeCell ref="N1:O1"/>
    <mergeCell ref="C21:D21"/>
    <mergeCell ref="N19:O19"/>
    <mergeCell ref="I24:J24"/>
    <mergeCell ref="L24:M24"/>
    <mergeCell ref="L25:M25"/>
    <mergeCell ref="C22:D22"/>
    <mergeCell ref="C23:D23"/>
    <mergeCell ref="C1:L1"/>
  </mergeCells>
  <printOptions/>
  <pageMargins left="0.75" right="0.75" top="1" bottom="1" header="0.5" footer="0.5"/>
  <pageSetup horizontalDpi="600" verticalDpi="600" orientation="portrait" paperSize="9" r:id="rId1"/>
  <ignoredErrors>
    <ignoredError sqref="D19 F19 K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5"/>
  <sheetViews>
    <sheetView zoomScale="89" zoomScaleNormal="89" workbookViewId="0" topLeftCell="A22">
      <selection activeCell="E44" activeCellId="2" sqref="G44 C44 E44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4.00390625" style="1" customWidth="1"/>
    <col min="5" max="5" width="9.125" style="1" customWidth="1"/>
    <col min="6" max="6" width="11.375" style="1" customWidth="1"/>
    <col min="7" max="9" width="9.125" style="1" customWidth="1"/>
    <col min="10" max="10" width="12.00390625" style="1" customWidth="1"/>
    <col min="11" max="11" width="11.875" style="1" customWidth="1"/>
    <col min="12" max="12" width="14.87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4.625" style="1" customWidth="1"/>
    <col min="18" max="18" width="15.75390625" style="0" bestFit="1" customWidth="1"/>
  </cols>
  <sheetData>
    <row r="1" spans="3:19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M1" s="118" t="s">
        <v>37</v>
      </c>
      <c r="N1" s="118"/>
      <c r="Q1" s="2"/>
      <c r="R1" s="2"/>
      <c r="S1" s="2"/>
    </row>
    <row r="2" spans="2:16" ht="34.5" customHeight="1" thickBot="1">
      <c r="B2" s="3" t="s">
        <v>30</v>
      </c>
      <c r="C2" s="13" t="s">
        <v>96</v>
      </c>
      <c r="D2" s="13" t="s">
        <v>97</v>
      </c>
      <c r="E2" s="13" t="s">
        <v>98</v>
      </c>
      <c r="F2" s="13" t="s">
        <v>99</v>
      </c>
      <c r="G2" s="13" t="s">
        <v>100</v>
      </c>
      <c r="H2" s="13" t="s">
        <v>157</v>
      </c>
      <c r="I2" s="13" t="s">
        <v>196</v>
      </c>
      <c r="J2" s="13" t="s">
        <v>123</v>
      </c>
      <c r="K2" s="13" t="s">
        <v>160</v>
      </c>
      <c r="L2" s="3" t="s">
        <v>39</v>
      </c>
      <c r="M2" s="3" t="s">
        <v>33</v>
      </c>
      <c r="N2" s="3" t="s">
        <v>38</v>
      </c>
      <c r="O2" s="3" t="s">
        <v>40</v>
      </c>
      <c r="P2" s="15" t="s">
        <v>143</v>
      </c>
    </row>
    <row r="3" spans="1:16" s="32" customFormat="1" ht="15.75">
      <c r="A3" s="26" t="s">
        <v>0</v>
      </c>
      <c r="B3" s="26" t="s">
        <v>27</v>
      </c>
      <c r="C3" s="58">
        <v>386</v>
      </c>
      <c r="D3" s="62"/>
      <c r="E3" s="66">
        <v>439</v>
      </c>
      <c r="F3" s="58">
        <v>411</v>
      </c>
      <c r="G3" s="66">
        <v>435</v>
      </c>
      <c r="H3" s="66">
        <v>450</v>
      </c>
      <c r="I3" s="58"/>
      <c r="J3" s="58"/>
      <c r="K3" s="49">
        <v>393</v>
      </c>
      <c r="L3" s="30">
        <f>SUM(C3:K3)</f>
        <v>2514</v>
      </c>
      <c r="M3" s="26">
        <v>3</v>
      </c>
      <c r="N3" s="26">
        <v>5</v>
      </c>
      <c r="O3" s="30">
        <f>L3-2604</f>
        <v>-90</v>
      </c>
      <c r="P3" s="26">
        <v>0</v>
      </c>
    </row>
    <row r="4" spans="1:16" s="41" customFormat="1" ht="15.75">
      <c r="A4" s="36" t="s">
        <v>1</v>
      </c>
      <c r="B4" s="36" t="s">
        <v>20</v>
      </c>
      <c r="C4" s="64">
        <v>405</v>
      </c>
      <c r="D4" s="64"/>
      <c r="E4" s="72">
        <v>454</v>
      </c>
      <c r="F4" s="59">
        <v>406</v>
      </c>
      <c r="G4" s="72">
        <v>424</v>
      </c>
      <c r="H4" s="59">
        <v>357</v>
      </c>
      <c r="I4" s="59"/>
      <c r="J4" s="59"/>
      <c r="K4" s="54">
        <v>384</v>
      </c>
      <c r="L4" s="39">
        <f aca="true" t="shared" si="0" ref="L4:L17">SUM(C4:K4)</f>
        <v>2430</v>
      </c>
      <c r="M4" s="36">
        <v>2</v>
      </c>
      <c r="N4" s="36">
        <v>6</v>
      </c>
      <c r="O4" s="36">
        <v>-124</v>
      </c>
      <c r="P4" s="36">
        <v>0</v>
      </c>
    </row>
    <row r="5" spans="1:16" s="32" customFormat="1" ht="15.75">
      <c r="A5" s="26" t="s">
        <v>2</v>
      </c>
      <c r="B5" s="26" t="s">
        <v>28</v>
      </c>
      <c r="C5" s="66">
        <v>437</v>
      </c>
      <c r="D5" s="62">
        <v>392</v>
      </c>
      <c r="E5" s="62">
        <v>406</v>
      </c>
      <c r="F5" s="58">
        <v>388</v>
      </c>
      <c r="G5" s="58"/>
      <c r="H5" s="58">
        <v>388</v>
      </c>
      <c r="I5" s="58"/>
      <c r="J5" s="58"/>
      <c r="K5" s="49">
        <v>371</v>
      </c>
      <c r="L5" s="30">
        <f t="shared" si="0"/>
        <v>2382</v>
      </c>
      <c r="M5" s="26">
        <v>1</v>
      </c>
      <c r="N5" s="26">
        <v>7</v>
      </c>
      <c r="O5" s="30">
        <f>L5-2620</f>
        <v>-238</v>
      </c>
      <c r="P5" s="26">
        <v>0</v>
      </c>
    </row>
    <row r="6" spans="1:16" s="41" customFormat="1" ht="15.75">
      <c r="A6" s="36" t="s">
        <v>3</v>
      </c>
      <c r="B6" s="36" t="s">
        <v>16</v>
      </c>
      <c r="C6" s="72">
        <v>428</v>
      </c>
      <c r="D6" s="64">
        <v>360</v>
      </c>
      <c r="E6" s="72">
        <v>432</v>
      </c>
      <c r="F6" s="72">
        <v>437</v>
      </c>
      <c r="G6" s="59"/>
      <c r="H6" s="59">
        <v>418</v>
      </c>
      <c r="I6" s="59"/>
      <c r="J6" s="59">
        <v>408</v>
      </c>
      <c r="K6" s="54"/>
      <c r="L6" s="39">
        <f t="shared" si="0"/>
        <v>2483</v>
      </c>
      <c r="M6" s="36">
        <v>3</v>
      </c>
      <c r="N6" s="36">
        <v>5</v>
      </c>
      <c r="O6" s="39">
        <f>L6-2570</f>
        <v>-87</v>
      </c>
      <c r="P6" s="36">
        <v>0</v>
      </c>
    </row>
    <row r="7" spans="1:16" s="32" customFormat="1" ht="15.75">
      <c r="A7" s="26" t="s">
        <v>4</v>
      </c>
      <c r="B7" s="26" t="s">
        <v>15</v>
      </c>
      <c r="C7" s="58">
        <v>404</v>
      </c>
      <c r="D7" s="62"/>
      <c r="E7" s="62">
        <v>392</v>
      </c>
      <c r="F7" s="58">
        <v>399</v>
      </c>
      <c r="G7" s="66">
        <v>438</v>
      </c>
      <c r="H7" s="66">
        <v>452</v>
      </c>
      <c r="I7" s="58"/>
      <c r="J7" s="58">
        <v>400</v>
      </c>
      <c r="K7" s="49"/>
      <c r="L7" s="30">
        <f t="shared" si="0"/>
        <v>2485</v>
      </c>
      <c r="M7" s="26">
        <v>2</v>
      </c>
      <c r="N7" s="26">
        <v>6</v>
      </c>
      <c r="O7" s="30">
        <v>-50</v>
      </c>
      <c r="P7" s="26">
        <v>0</v>
      </c>
    </row>
    <row r="8" spans="1:16" s="41" customFormat="1" ht="15.75">
      <c r="A8" s="36" t="s">
        <v>5</v>
      </c>
      <c r="B8" s="36" t="s">
        <v>17</v>
      </c>
      <c r="C8" s="64">
        <v>386</v>
      </c>
      <c r="D8" s="64">
        <v>385</v>
      </c>
      <c r="E8" s="72">
        <v>446</v>
      </c>
      <c r="F8" s="59">
        <v>378</v>
      </c>
      <c r="G8" s="72">
        <v>438</v>
      </c>
      <c r="H8" s="59">
        <v>372</v>
      </c>
      <c r="I8" s="59"/>
      <c r="J8" s="59"/>
      <c r="K8" s="54"/>
      <c r="L8" s="39">
        <f t="shared" si="0"/>
        <v>2405</v>
      </c>
      <c r="M8" s="36">
        <v>2</v>
      </c>
      <c r="N8" s="36">
        <v>6</v>
      </c>
      <c r="O8" s="39">
        <f>L8-2664</f>
        <v>-259</v>
      </c>
      <c r="P8" s="36">
        <v>0</v>
      </c>
    </row>
    <row r="9" spans="1:16" s="57" customFormat="1" ht="15.75">
      <c r="A9" s="1" t="s">
        <v>6</v>
      </c>
      <c r="B9" s="14" t="s">
        <v>24</v>
      </c>
      <c r="C9" s="60"/>
      <c r="D9" s="65"/>
      <c r="E9" s="65"/>
      <c r="F9" s="60"/>
      <c r="G9" s="60"/>
      <c r="H9" s="60"/>
      <c r="I9" s="60"/>
      <c r="J9" s="60"/>
      <c r="K9" s="18"/>
      <c r="L9" s="7">
        <f t="shared" si="0"/>
        <v>0</v>
      </c>
      <c r="M9" s="1"/>
      <c r="N9" s="1"/>
      <c r="O9" s="7"/>
      <c r="P9" s="1"/>
    </row>
    <row r="10" spans="1:16" s="41" customFormat="1" ht="15.75">
      <c r="A10" s="36" t="s">
        <v>7</v>
      </c>
      <c r="B10" s="36" t="s">
        <v>19</v>
      </c>
      <c r="C10" s="72">
        <v>420</v>
      </c>
      <c r="D10" s="64">
        <v>371</v>
      </c>
      <c r="E10" s="72">
        <v>440</v>
      </c>
      <c r="F10" s="59">
        <v>408</v>
      </c>
      <c r="G10" s="72">
        <v>410</v>
      </c>
      <c r="H10" s="59"/>
      <c r="I10" s="59"/>
      <c r="J10" s="59">
        <v>378</v>
      </c>
      <c r="K10" s="54"/>
      <c r="L10" s="39">
        <f t="shared" si="0"/>
        <v>2427</v>
      </c>
      <c r="M10" s="36">
        <v>5</v>
      </c>
      <c r="N10" s="36">
        <v>3</v>
      </c>
      <c r="O10" s="39">
        <f>L10-2385</f>
        <v>42</v>
      </c>
      <c r="P10" s="36">
        <v>2</v>
      </c>
    </row>
    <row r="11" spans="1:16" s="32" customFormat="1" ht="15.75">
      <c r="A11" s="26" t="s">
        <v>8</v>
      </c>
      <c r="B11" s="26" t="s">
        <v>21</v>
      </c>
      <c r="C11" s="66">
        <v>426</v>
      </c>
      <c r="D11" s="66">
        <v>407</v>
      </c>
      <c r="E11" s="66">
        <v>425</v>
      </c>
      <c r="F11" s="66">
        <v>408</v>
      </c>
      <c r="G11" s="58">
        <v>402</v>
      </c>
      <c r="H11" s="58">
        <v>393</v>
      </c>
      <c r="I11" s="58"/>
      <c r="J11" s="58"/>
      <c r="K11" s="49"/>
      <c r="L11" s="30">
        <f t="shared" si="0"/>
        <v>2461</v>
      </c>
      <c r="M11" s="26">
        <v>6</v>
      </c>
      <c r="N11" s="26">
        <v>2</v>
      </c>
      <c r="O11" s="26">
        <v>61</v>
      </c>
      <c r="P11" s="26">
        <v>2</v>
      </c>
    </row>
    <row r="12" spans="1:16" s="32" customFormat="1" ht="15.75">
      <c r="A12" s="26" t="s">
        <v>9</v>
      </c>
      <c r="B12" s="26" t="s">
        <v>23</v>
      </c>
      <c r="C12" s="66">
        <v>452</v>
      </c>
      <c r="D12" s="62">
        <v>383</v>
      </c>
      <c r="E12" s="66">
        <v>414</v>
      </c>
      <c r="F12" s="58">
        <v>401</v>
      </c>
      <c r="G12" s="58"/>
      <c r="H12" s="58"/>
      <c r="I12" s="58"/>
      <c r="J12" s="58">
        <v>409</v>
      </c>
      <c r="K12" s="49"/>
      <c r="L12" s="30">
        <f t="shared" si="0"/>
        <v>2059</v>
      </c>
      <c r="M12" s="26">
        <v>2</v>
      </c>
      <c r="N12" s="26">
        <v>6</v>
      </c>
      <c r="O12" s="26">
        <v>-345</v>
      </c>
      <c r="P12" s="26">
        <v>0</v>
      </c>
    </row>
    <row r="13" spans="1:16" s="41" customFormat="1" ht="15.75">
      <c r="A13" s="36" t="s">
        <v>10</v>
      </c>
      <c r="B13" s="36" t="s">
        <v>25</v>
      </c>
      <c r="C13" s="72">
        <v>440</v>
      </c>
      <c r="D13" s="64"/>
      <c r="E13" s="72">
        <v>398</v>
      </c>
      <c r="F13" s="59">
        <v>376</v>
      </c>
      <c r="G13" s="59"/>
      <c r="H13" s="59">
        <v>384</v>
      </c>
      <c r="I13" s="59"/>
      <c r="J13" s="72">
        <v>398</v>
      </c>
      <c r="K13" s="90">
        <v>436</v>
      </c>
      <c r="L13" s="39">
        <f t="shared" si="0"/>
        <v>2432</v>
      </c>
      <c r="M13" s="36">
        <v>6</v>
      </c>
      <c r="N13" s="36">
        <v>2</v>
      </c>
      <c r="O13" s="39">
        <f>L13-2301</f>
        <v>131</v>
      </c>
      <c r="P13" s="36">
        <v>2</v>
      </c>
    </row>
    <row r="14" spans="1:16" s="32" customFormat="1" ht="15.75">
      <c r="A14" s="26" t="s">
        <v>11</v>
      </c>
      <c r="B14" s="26" t="s">
        <v>29</v>
      </c>
      <c r="C14" s="58">
        <v>406</v>
      </c>
      <c r="D14" s="62"/>
      <c r="E14" s="66">
        <v>475</v>
      </c>
      <c r="F14" s="58">
        <v>371</v>
      </c>
      <c r="G14" s="66">
        <v>429</v>
      </c>
      <c r="H14" s="58"/>
      <c r="I14" s="66">
        <v>452</v>
      </c>
      <c r="J14" s="58"/>
      <c r="K14" s="49">
        <v>398</v>
      </c>
      <c r="L14" s="30">
        <f t="shared" si="0"/>
        <v>2531</v>
      </c>
      <c r="M14" s="26">
        <v>5</v>
      </c>
      <c r="N14" s="26">
        <v>3</v>
      </c>
      <c r="O14" s="26">
        <v>1</v>
      </c>
      <c r="P14" s="26">
        <v>2</v>
      </c>
    </row>
    <row r="15" spans="1:16" s="41" customFormat="1" ht="15.75">
      <c r="A15" s="36" t="s">
        <v>12</v>
      </c>
      <c r="B15" s="36" t="s">
        <v>31</v>
      </c>
      <c r="C15" s="64">
        <v>421</v>
      </c>
      <c r="D15" s="64">
        <v>398</v>
      </c>
      <c r="E15" s="72">
        <v>422</v>
      </c>
      <c r="F15" s="59">
        <v>420</v>
      </c>
      <c r="G15" s="72">
        <v>430</v>
      </c>
      <c r="H15" s="59"/>
      <c r="I15" s="59"/>
      <c r="J15" s="59"/>
      <c r="K15" s="54">
        <v>421</v>
      </c>
      <c r="L15" s="39">
        <f t="shared" si="0"/>
        <v>2512</v>
      </c>
      <c r="M15" s="36">
        <v>2</v>
      </c>
      <c r="N15" s="36">
        <v>6</v>
      </c>
      <c r="O15" s="36">
        <v>-74</v>
      </c>
      <c r="P15" s="36">
        <v>0</v>
      </c>
    </row>
    <row r="16" spans="1:16" s="32" customFormat="1" ht="15.75">
      <c r="A16" s="26" t="s">
        <v>13</v>
      </c>
      <c r="B16" s="26" t="s">
        <v>18</v>
      </c>
      <c r="C16" s="66">
        <v>430</v>
      </c>
      <c r="D16" s="62"/>
      <c r="E16" s="66">
        <v>423</v>
      </c>
      <c r="F16" s="58">
        <v>399</v>
      </c>
      <c r="G16" s="66">
        <v>427</v>
      </c>
      <c r="H16" s="58">
        <v>380</v>
      </c>
      <c r="I16" s="58"/>
      <c r="J16" s="58"/>
      <c r="K16" s="49">
        <v>394</v>
      </c>
      <c r="L16" s="30">
        <f t="shared" si="0"/>
        <v>2453</v>
      </c>
      <c r="M16" s="26">
        <v>3</v>
      </c>
      <c r="N16" s="26">
        <v>5</v>
      </c>
      <c r="O16" s="26">
        <v>-52</v>
      </c>
      <c r="P16" s="26">
        <v>0</v>
      </c>
    </row>
    <row r="17" spans="1:16" s="41" customFormat="1" ht="16.5" thickBot="1">
      <c r="A17" s="36" t="s">
        <v>14</v>
      </c>
      <c r="B17" s="36" t="s">
        <v>26</v>
      </c>
      <c r="C17" s="97">
        <v>431</v>
      </c>
      <c r="D17" s="63"/>
      <c r="E17" s="97">
        <v>445</v>
      </c>
      <c r="F17" s="63">
        <v>398</v>
      </c>
      <c r="G17" s="97">
        <v>415</v>
      </c>
      <c r="H17" s="63">
        <v>388</v>
      </c>
      <c r="I17" s="63"/>
      <c r="J17" s="63">
        <v>376</v>
      </c>
      <c r="K17" s="51"/>
      <c r="L17" s="52">
        <f t="shared" si="0"/>
        <v>2453</v>
      </c>
      <c r="M17" s="53">
        <v>3</v>
      </c>
      <c r="N17" s="53">
        <v>5</v>
      </c>
      <c r="O17" s="53">
        <v>-42</v>
      </c>
      <c r="P17" s="53">
        <v>0</v>
      </c>
    </row>
    <row r="18" spans="3:11" ht="16.5" thickTop="1">
      <c r="C18" s="7">
        <f>SUM(C3:C17)</f>
        <v>5872</v>
      </c>
      <c r="D18" s="7">
        <f>SUM(D3:D17)</f>
        <v>2696</v>
      </c>
      <c r="E18" s="7">
        <f aca="true" t="shared" si="1" ref="E18:K18">SUM(E3:E17)</f>
        <v>6011</v>
      </c>
      <c r="F18" s="7">
        <f t="shared" si="1"/>
        <v>5600</v>
      </c>
      <c r="G18" s="7">
        <f t="shared" si="1"/>
        <v>4248</v>
      </c>
      <c r="H18" s="7">
        <f t="shared" si="1"/>
        <v>3982</v>
      </c>
      <c r="I18" s="7">
        <f t="shared" si="1"/>
        <v>452</v>
      </c>
      <c r="J18" s="7">
        <f t="shared" si="1"/>
        <v>2369</v>
      </c>
      <c r="K18" s="7">
        <f t="shared" si="1"/>
        <v>2797</v>
      </c>
    </row>
    <row r="19" spans="2:18" ht="33" customHeight="1">
      <c r="B19" s="16" t="s">
        <v>163</v>
      </c>
      <c r="C19" s="22">
        <f>C18/14</f>
        <v>419.42857142857144</v>
      </c>
      <c r="D19" s="22">
        <f>D18/7</f>
        <v>385.14285714285717</v>
      </c>
      <c r="E19" s="22">
        <f>E18/14</f>
        <v>429.35714285714283</v>
      </c>
      <c r="F19" s="22">
        <f>F18/14</f>
        <v>400</v>
      </c>
      <c r="G19" s="22">
        <f>G18/10</f>
        <v>424.8</v>
      </c>
      <c r="H19" s="22">
        <f>H18/10</f>
        <v>398.2</v>
      </c>
      <c r="I19" s="22">
        <f>I18/1</f>
        <v>452</v>
      </c>
      <c r="J19" s="22">
        <f>J18/6</f>
        <v>394.8333333333333</v>
      </c>
      <c r="K19" s="22">
        <f>K18/7</f>
        <v>399.57142857142856</v>
      </c>
      <c r="L19" s="3" t="s">
        <v>39</v>
      </c>
      <c r="M19" s="118" t="s">
        <v>144</v>
      </c>
      <c r="N19" s="118"/>
      <c r="O19" s="3" t="s">
        <v>40</v>
      </c>
      <c r="P19" s="15" t="s">
        <v>145</v>
      </c>
      <c r="R19" s="19" t="s">
        <v>159</v>
      </c>
    </row>
    <row r="20" spans="12:18" ht="15.75">
      <c r="L20" s="7">
        <f>SUM(L3:L17)</f>
        <v>34027</v>
      </c>
      <c r="M20" s="1">
        <f>SUM(M3:M17)</f>
        <v>45</v>
      </c>
      <c r="N20" s="1">
        <f>SUM(N3:N17)</f>
        <v>67</v>
      </c>
      <c r="O20" s="1">
        <f>SUM(O3:O17)</f>
        <v>-1126</v>
      </c>
      <c r="P20" s="1">
        <f>SUM(P3:P17)</f>
        <v>8</v>
      </c>
      <c r="R20" s="2">
        <f>M20-N20</f>
        <v>-22</v>
      </c>
    </row>
    <row r="21" ht="15.75">
      <c r="H21" s="14"/>
    </row>
    <row r="22" spans="3:13" ht="15.75">
      <c r="C22" s="119" t="s">
        <v>52</v>
      </c>
      <c r="D22" s="119"/>
      <c r="L22" s="1" t="s">
        <v>164</v>
      </c>
      <c r="M22" s="24">
        <f>L20/14</f>
        <v>2430.5</v>
      </c>
    </row>
    <row r="23" spans="3:4" ht="15.75">
      <c r="C23" s="116" t="s">
        <v>168</v>
      </c>
      <c r="D23" s="116"/>
    </row>
    <row r="24" spans="3:13" ht="15.75">
      <c r="C24" s="117" t="s">
        <v>169</v>
      </c>
      <c r="D24" s="117"/>
      <c r="I24" s="118" t="s">
        <v>199</v>
      </c>
      <c r="J24" s="118"/>
      <c r="K24" s="3" t="s">
        <v>200</v>
      </c>
      <c r="L24" s="122" t="s">
        <v>159</v>
      </c>
      <c r="M24" s="122"/>
    </row>
    <row r="25" spans="9:13" ht="15.75">
      <c r="I25" s="1">
        <f>M20+M45</f>
        <v>94</v>
      </c>
      <c r="J25" s="1">
        <f>N20+N45</f>
        <v>130</v>
      </c>
      <c r="K25" s="1">
        <f>P20+P45</f>
        <v>17</v>
      </c>
      <c r="L25" s="115">
        <f>I25-J25</f>
        <v>-36</v>
      </c>
      <c r="M25" s="115"/>
    </row>
    <row r="26" spans="1:6" ht="15.75">
      <c r="A26" s="92" t="s">
        <v>183</v>
      </c>
      <c r="B26" s="86"/>
      <c r="C26" s="94" t="s">
        <v>189</v>
      </c>
      <c r="D26" s="86" t="s">
        <v>188</v>
      </c>
      <c r="E26" s="93" t="s">
        <v>182</v>
      </c>
      <c r="F26" s="86"/>
    </row>
    <row r="27" spans="1:6" ht="15.75">
      <c r="A27" s="92"/>
      <c r="B27" s="86"/>
      <c r="C27" s="94"/>
      <c r="D27" s="86"/>
      <c r="E27" s="93"/>
      <c r="F27" s="86"/>
    </row>
    <row r="29" spans="2:16" ht="34.5" customHeight="1" thickBot="1">
      <c r="B29" s="3" t="s">
        <v>30</v>
      </c>
      <c r="C29" s="13" t="s">
        <v>96</v>
      </c>
      <c r="D29" s="13" t="s">
        <v>97</v>
      </c>
      <c r="E29" s="13" t="s">
        <v>98</v>
      </c>
      <c r="F29" s="13" t="s">
        <v>99</v>
      </c>
      <c r="G29" s="13" t="s">
        <v>100</v>
      </c>
      <c r="H29" s="13" t="s">
        <v>157</v>
      </c>
      <c r="I29" s="13" t="s">
        <v>196</v>
      </c>
      <c r="J29" s="13" t="s">
        <v>123</v>
      </c>
      <c r="K29" s="13" t="s">
        <v>220</v>
      </c>
      <c r="L29" s="3" t="s">
        <v>39</v>
      </c>
      <c r="M29" s="3" t="s">
        <v>33</v>
      </c>
      <c r="N29" s="3" t="s">
        <v>38</v>
      </c>
      <c r="O29" s="3" t="s">
        <v>40</v>
      </c>
      <c r="P29" s="15" t="s">
        <v>143</v>
      </c>
    </row>
    <row r="30" spans="1:16" s="32" customFormat="1" ht="15.75">
      <c r="A30" s="26" t="s">
        <v>198</v>
      </c>
      <c r="B30" s="26" t="s">
        <v>19</v>
      </c>
      <c r="C30" s="87">
        <v>409</v>
      </c>
      <c r="D30" s="26">
        <v>388</v>
      </c>
      <c r="E30" s="87">
        <v>424</v>
      </c>
      <c r="F30" s="87">
        <v>416</v>
      </c>
      <c r="G30" s="26">
        <v>400</v>
      </c>
      <c r="H30" s="26">
        <v>373</v>
      </c>
      <c r="I30" s="26"/>
      <c r="J30" s="26"/>
      <c r="K30" s="26"/>
      <c r="L30" s="26">
        <f>SUM(C30:K30)</f>
        <v>2410</v>
      </c>
      <c r="M30" s="26">
        <v>3</v>
      </c>
      <c r="N30" s="26">
        <v>5</v>
      </c>
      <c r="O30" s="26">
        <v>-57</v>
      </c>
      <c r="P30" s="26">
        <v>0</v>
      </c>
    </row>
    <row r="31" spans="1:12" ht="15.75">
      <c r="A31" s="103" t="s">
        <v>202</v>
      </c>
      <c r="B31" s="1" t="s">
        <v>24</v>
      </c>
      <c r="L31" s="26">
        <f>SUM(C31:K31)</f>
        <v>0</v>
      </c>
    </row>
    <row r="32" spans="1:16" s="32" customFormat="1" ht="15.75">
      <c r="A32" s="26" t="s">
        <v>204</v>
      </c>
      <c r="B32" s="26" t="s">
        <v>17</v>
      </c>
      <c r="C32" s="87">
        <v>423</v>
      </c>
      <c r="D32" s="26">
        <v>379</v>
      </c>
      <c r="E32" s="87">
        <v>466</v>
      </c>
      <c r="F32" s="26">
        <v>407</v>
      </c>
      <c r="G32" s="87">
        <v>434</v>
      </c>
      <c r="H32" s="26"/>
      <c r="I32" s="26"/>
      <c r="J32" s="26">
        <v>362</v>
      </c>
      <c r="K32" s="26"/>
      <c r="L32" s="26">
        <f>SUM(C32:K32)</f>
        <v>2471</v>
      </c>
      <c r="M32" s="26">
        <v>3</v>
      </c>
      <c r="N32" s="26">
        <v>5</v>
      </c>
      <c r="O32" s="26">
        <v>-61</v>
      </c>
      <c r="P32" s="26">
        <v>0</v>
      </c>
    </row>
    <row r="33" spans="1:16" s="41" customFormat="1" ht="15.75">
      <c r="A33" s="36" t="s">
        <v>205</v>
      </c>
      <c r="B33" s="36" t="s">
        <v>15</v>
      </c>
      <c r="C33" s="36">
        <v>380</v>
      </c>
      <c r="D33" s="36"/>
      <c r="E33" s="67">
        <v>434</v>
      </c>
      <c r="F33" s="36">
        <v>401</v>
      </c>
      <c r="G33" s="67">
        <v>415</v>
      </c>
      <c r="H33" s="36">
        <v>364</v>
      </c>
      <c r="I33" s="67">
        <v>468</v>
      </c>
      <c r="J33" s="36"/>
      <c r="K33" s="36"/>
      <c r="L33" s="36">
        <f>SUM(C33:K33)</f>
        <v>2462</v>
      </c>
      <c r="M33" s="36">
        <v>3</v>
      </c>
      <c r="N33" s="36">
        <v>5</v>
      </c>
      <c r="O33" s="36">
        <v>-4</v>
      </c>
      <c r="P33" s="36">
        <v>0</v>
      </c>
    </row>
    <row r="34" spans="1:16" s="32" customFormat="1" ht="15.75">
      <c r="A34" s="26" t="s">
        <v>207</v>
      </c>
      <c r="B34" s="26" t="s">
        <v>16</v>
      </c>
      <c r="C34" s="26">
        <v>418</v>
      </c>
      <c r="D34" s="26">
        <v>388</v>
      </c>
      <c r="E34" s="87">
        <v>476</v>
      </c>
      <c r="F34" s="87">
        <v>446</v>
      </c>
      <c r="G34" s="26">
        <v>419</v>
      </c>
      <c r="H34" s="26"/>
      <c r="I34" s="26"/>
      <c r="J34" s="26">
        <v>389</v>
      </c>
      <c r="K34" s="26"/>
      <c r="L34" s="26">
        <f>SUM(C34:K34)</f>
        <v>2536</v>
      </c>
      <c r="M34" s="26">
        <v>4</v>
      </c>
      <c r="N34" s="26">
        <v>4</v>
      </c>
      <c r="O34" s="26">
        <f>L34-2517</f>
        <v>19</v>
      </c>
      <c r="P34" s="26">
        <v>1</v>
      </c>
    </row>
    <row r="35" spans="1:16" s="41" customFormat="1" ht="15.75">
      <c r="A35" s="36" t="s">
        <v>208</v>
      </c>
      <c r="B35" s="36" t="s">
        <v>28</v>
      </c>
      <c r="C35" s="36">
        <v>413</v>
      </c>
      <c r="D35" s="36"/>
      <c r="E35" s="67">
        <v>453</v>
      </c>
      <c r="F35" s="67">
        <v>441</v>
      </c>
      <c r="G35" s="36">
        <v>410</v>
      </c>
      <c r="H35" s="36">
        <v>416</v>
      </c>
      <c r="I35" s="67">
        <v>470</v>
      </c>
      <c r="J35" s="36"/>
      <c r="K35" s="36"/>
      <c r="L35" s="36">
        <f aca="true" t="shared" si="2" ref="L35:L44">SUM(C35:K35)</f>
        <v>2603</v>
      </c>
      <c r="M35" s="36">
        <v>3</v>
      </c>
      <c r="N35" s="36">
        <v>5</v>
      </c>
      <c r="O35" s="36">
        <f>L35-2648</f>
        <v>-45</v>
      </c>
      <c r="P35" s="36">
        <v>0</v>
      </c>
    </row>
    <row r="36" spans="1:16" s="32" customFormat="1" ht="15.75">
      <c r="A36" s="26" t="s">
        <v>209</v>
      </c>
      <c r="B36" s="26" t="s">
        <v>20</v>
      </c>
      <c r="C36" s="26">
        <v>410</v>
      </c>
      <c r="D36" s="26"/>
      <c r="E36" s="87">
        <v>428</v>
      </c>
      <c r="F36" s="87">
        <v>428</v>
      </c>
      <c r="G36" s="87">
        <v>439</v>
      </c>
      <c r="H36" s="26">
        <v>389</v>
      </c>
      <c r="I36" s="87">
        <v>464</v>
      </c>
      <c r="J36" s="26"/>
      <c r="K36" s="26"/>
      <c r="L36" s="26">
        <f t="shared" si="2"/>
        <v>2558</v>
      </c>
      <c r="M36" s="26">
        <v>6</v>
      </c>
      <c r="N36" s="26">
        <v>2</v>
      </c>
      <c r="O36" s="26">
        <v>64</v>
      </c>
      <c r="P36" s="26">
        <v>2</v>
      </c>
    </row>
    <row r="37" spans="1:16" s="41" customFormat="1" ht="15.75">
      <c r="A37" s="36" t="s">
        <v>210</v>
      </c>
      <c r="B37" s="36" t="s">
        <v>27</v>
      </c>
      <c r="C37" s="36">
        <v>404</v>
      </c>
      <c r="D37" s="36"/>
      <c r="E37" s="36">
        <v>408</v>
      </c>
      <c r="F37" s="67">
        <v>429</v>
      </c>
      <c r="G37" s="67">
        <v>432</v>
      </c>
      <c r="H37" s="36">
        <v>375</v>
      </c>
      <c r="I37" s="67">
        <v>440</v>
      </c>
      <c r="J37" s="36"/>
      <c r="K37" s="36"/>
      <c r="L37" s="36">
        <f t="shared" si="2"/>
        <v>2488</v>
      </c>
      <c r="M37" s="36">
        <v>5</v>
      </c>
      <c r="N37" s="36">
        <v>3</v>
      </c>
      <c r="O37" s="36">
        <v>86</v>
      </c>
      <c r="P37" s="36">
        <v>2</v>
      </c>
    </row>
    <row r="38" spans="1:16" s="32" customFormat="1" ht="15.75">
      <c r="A38" s="26" t="s">
        <v>211</v>
      </c>
      <c r="B38" s="26" t="s">
        <v>26</v>
      </c>
      <c r="C38" s="26">
        <v>417</v>
      </c>
      <c r="D38" s="26"/>
      <c r="E38" s="87">
        <v>438</v>
      </c>
      <c r="F38" s="45">
        <v>430</v>
      </c>
      <c r="G38" s="87">
        <v>443</v>
      </c>
      <c r="H38" s="26">
        <v>400</v>
      </c>
      <c r="I38" s="87">
        <v>446</v>
      </c>
      <c r="J38" s="26"/>
      <c r="K38" s="26"/>
      <c r="L38" s="26">
        <f t="shared" si="2"/>
        <v>2574</v>
      </c>
      <c r="M38" s="26">
        <v>3</v>
      </c>
      <c r="N38" s="26">
        <v>5</v>
      </c>
      <c r="O38" s="26">
        <f>L38-2626</f>
        <v>-52</v>
      </c>
      <c r="P38" s="26">
        <v>0</v>
      </c>
    </row>
    <row r="39" spans="1:16" s="41" customFormat="1" ht="15.75">
      <c r="A39" s="36" t="s">
        <v>212</v>
      </c>
      <c r="B39" s="36" t="s">
        <v>18</v>
      </c>
      <c r="C39" s="67">
        <v>428</v>
      </c>
      <c r="D39" s="36"/>
      <c r="E39" s="36">
        <v>394</v>
      </c>
      <c r="F39" s="36">
        <v>404</v>
      </c>
      <c r="G39" s="36">
        <v>384</v>
      </c>
      <c r="H39" s="36">
        <v>375</v>
      </c>
      <c r="I39" s="36"/>
      <c r="J39" s="36">
        <v>401</v>
      </c>
      <c r="K39" s="36"/>
      <c r="L39" s="36">
        <f t="shared" si="2"/>
        <v>2386</v>
      </c>
      <c r="M39" s="36">
        <v>1</v>
      </c>
      <c r="N39" s="36">
        <v>7</v>
      </c>
      <c r="O39" s="36">
        <v>-206</v>
      </c>
      <c r="P39" s="36">
        <v>0</v>
      </c>
    </row>
    <row r="40" spans="1:16" s="32" customFormat="1" ht="15.75">
      <c r="A40" s="26" t="s">
        <v>213</v>
      </c>
      <c r="B40" s="26" t="s">
        <v>31</v>
      </c>
      <c r="C40" s="87">
        <v>432</v>
      </c>
      <c r="D40" s="26">
        <v>388</v>
      </c>
      <c r="E40" s="26">
        <v>394</v>
      </c>
      <c r="F40" s="26">
        <v>388</v>
      </c>
      <c r="G40" s="26">
        <v>401</v>
      </c>
      <c r="H40" s="26">
        <v>408</v>
      </c>
      <c r="I40" s="26"/>
      <c r="J40" s="26"/>
      <c r="K40" s="26"/>
      <c r="L40" s="26">
        <f t="shared" si="2"/>
        <v>2411</v>
      </c>
      <c r="M40" s="26">
        <v>1</v>
      </c>
      <c r="N40" s="26">
        <v>7</v>
      </c>
      <c r="O40" s="26">
        <v>-257</v>
      </c>
      <c r="P40" s="26">
        <v>0</v>
      </c>
    </row>
    <row r="41" spans="1:16" s="41" customFormat="1" ht="15.75">
      <c r="A41" s="36" t="s">
        <v>214</v>
      </c>
      <c r="B41" s="36" t="s">
        <v>29</v>
      </c>
      <c r="C41" s="67">
        <v>418</v>
      </c>
      <c r="D41" s="36">
        <v>386</v>
      </c>
      <c r="E41" s="67">
        <v>456</v>
      </c>
      <c r="F41" s="36">
        <v>373</v>
      </c>
      <c r="G41" s="67">
        <v>418</v>
      </c>
      <c r="H41" s="36">
        <v>399</v>
      </c>
      <c r="I41" s="36"/>
      <c r="J41" s="36"/>
      <c r="K41" s="36"/>
      <c r="L41" s="36">
        <f t="shared" si="2"/>
        <v>2450</v>
      </c>
      <c r="M41" s="36">
        <v>3</v>
      </c>
      <c r="N41" s="36">
        <v>5</v>
      </c>
      <c r="O41" s="36">
        <v>-107</v>
      </c>
      <c r="P41" s="36">
        <v>0</v>
      </c>
    </row>
    <row r="42" spans="1:16" s="32" customFormat="1" ht="15.75">
      <c r="A42" s="26" t="s">
        <v>215</v>
      </c>
      <c r="B42" s="26" t="s">
        <v>25</v>
      </c>
      <c r="C42" s="26">
        <v>381</v>
      </c>
      <c r="D42" s="26"/>
      <c r="E42" s="87">
        <v>432</v>
      </c>
      <c r="F42" s="87">
        <v>421</v>
      </c>
      <c r="G42" s="87">
        <v>422</v>
      </c>
      <c r="H42" s="26">
        <v>381</v>
      </c>
      <c r="I42" s="26"/>
      <c r="J42" s="26">
        <v>381</v>
      </c>
      <c r="K42" s="26"/>
      <c r="L42" s="26">
        <f t="shared" si="2"/>
        <v>2418</v>
      </c>
      <c r="M42" s="26">
        <v>3</v>
      </c>
      <c r="N42" s="26">
        <v>5</v>
      </c>
      <c r="O42" s="26">
        <v>-12</v>
      </c>
      <c r="P42" s="26">
        <v>0</v>
      </c>
    </row>
    <row r="43" spans="1:16" s="41" customFormat="1" ht="15.75">
      <c r="A43" s="36" t="s">
        <v>216</v>
      </c>
      <c r="B43" s="36" t="s">
        <v>23</v>
      </c>
      <c r="C43" s="67">
        <v>465</v>
      </c>
      <c r="D43" s="36"/>
      <c r="E43" s="67">
        <v>463</v>
      </c>
      <c r="F43" s="67">
        <v>416</v>
      </c>
      <c r="G43" s="67">
        <v>450</v>
      </c>
      <c r="H43" s="36">
        <v>347</v>
      </c>
      <c r="I43" s="36"/>
      <c r="J43" s="36"/>
      <c r="K43" s="36">
        <v>374</v>
      </c>
      <c r="L43" s="36">
        <f t="shared" si="2"/>
        <v>2515</v>
      </c>
      <c r="M43" s="36">
        <v>6</v>
      </c>
      <c r="N43" s="36">
        <v>2</v>
      </c>
      <c r="O43" s="36">
        <v>108</v>
      </c>
      <c r="P43" s="36">
        <v>2</v>
      </c>
    </row>
    <row r="44" spans="1:16" s="41" customFormat="1" ht="16.5" thickBot="1">
      <c r="A44" s="36" t="s">
        <v>217</v>
      </c>
      <c r="B44" s="36" t="s">
        <v>21</v>
      </c>
      <c r="C44" s="67">
        <v>431</v>
      </c>
      <c r="D44" s="36"/>
      <c r="E44" s="67">
        <v>422</v>
      </c>
      <c r="F44" s="36">
        <v>407</v>
      </c>
      <c r="G44" s="67">
        <v>437</v>
      </c>
      <c r="H44" s="36"/>
      <c r="I44" s="36"/>
      <c r="J44" s="36">
        <v>413</v>
      </c>
      <c r="K44" s="36">
        <v>409</v>
      </c>
      <c r="L44" s="36">
        <f t="shared" si="2"/>
        <v>2519</v>
      </c>
      <c r="M44" s="53">
        <v>5</v>
      </c>
      <c r="N44" s="53">
        <v>3</v>
      </c>
      <c r="O44" s="53">
        <v>29</v>
      </c>
      <c r="P44" s="53">
        <v>2</v>
      </c>
    </row>
    <row r="45" spans="13:16" ht="16.5" thickTop="1">
      <c r="M45" s="1">
        <f>SUM(M30:M44)</f>
        <v>49</v>
      </c>
      <c r="N45" s="1">
        <f>SUM(N30:N44)</f>
        <v>63</v>
      </c>
      <c r="O45" s="1">
        <f>SUM(O30:O44)</f>
        <v>-495</v>
      </c>
      <c r="P45" s="1">
        <f>SUM(P30:P44)</f>
        <v>9</v>
      </c>
    </row>
  </sheetData>
  <mergeCells count="9">
    <mergeCell ref="L25:M25"/>
    <mergeCell ref="I24:J24"/>
    <mergeCell ref="C23:D23"/>
    <mergeCell ref="C24:D24"/>
    <mergeCell ref="L24:M24"/>
    <mergeCell ref="C1:K1"/>
    <mergeCell ref="M1:N1"/>
    <mergeCell ref="C22:D22"/>
    <mergeCell ref="M19:N19"/>
  </mergeCells>
  <printOptions/>
  <pageMargins left="0.75" right="0.75" top="1" bottom="1" header="0.5" footer="0.5"/>
  <pageSetup orientation="portrait" paperSize="9"/>
  <ignoredErrors>
    <ignoredError sqref="D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8"/>
  <sheetViews>
    <sheetView zoomScale="89" zoomScaleNormal="89" workbookViewId="0" topLeftCell="A22">
      <selection activeCell="K45" sqref="K45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0.625" style="1" customWidth="1"/>
    <col min="4" max="7" width="9.125" style="1" customWidth="1"/>
    <col min="8" max="8" width="9.75390625" style="1" customWidth="1"/>
    <col min="9" max="10" width="9.125" style="1" customWidth="1"/>
    <col min="11" max="11" width="11.00390625" style="1" customWidth="1"/>
    <col min="12" max="12" width="9.125" style="1" customWidth="1"/>
    <col min="13" max="13" width="15.375" style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9" max="19" width="15.75390625" style="0" bestFit="1" customWidth="1"/>
  </cols>
  <sheetData>
    <row r="1" spans="3:20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  <c r="R1" s="2"/>
      <c r="S1" s="2"/>
      <c r="T1" s="2"/>
    </row>
    <row r="2" spans="2:17" ht="32.25" thickBot="1">
      <c r="B2" s="3" t="s">
        <v>30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71</v>
      </c>
      <c r="H2" s="13" t="s">
        <v>72</v>
      </c>
      <c r="I2" s="13" t="s">
        <v>152</v>
      </c>
      <c r="J2" s="13"/>
      <c r="K2" s="13"/>
      <c r="L2" s="13"/>
      <c r="M2" s="3" t="s">
        <v>39</v>
      </c>
      <c r="N2" s="3" t="s">
        <v>23</v>
      </c>
      <c r="O2" s="3" t="s">
        <v>38</v>
      </c>
      <c r="P2" s="3" t="s">
        <v>40</v>
      </c>
      <c r="Q2" s="15" t="s">
        <v>143</v>
      </c>
    </row>
    <row r="3" spans="1:17" s="41" customFormat="1" ht="15.75">
      <c r="A3" s="36" t="s">
        <v>0</v>
      </c>
      <c r="B3" s="36" t="s">
        <v>31</v>
      </c>
      <c r="C3" s="68">
        <v>408</v>
      </c>
      <c r="D3" s="81">
        <v>458</v>
      </c>
      <c r="E3" s="81">
        <v>439</v>
      </c>
      <c r="F3" s="68">
        <v>406</v>
      </c>
      <c r="G3" s="68"/>
      <c r="H3" s="68">
        <v>390</v>
      </c>
      <c r="I3" s="81">
        <v>416</v>
      </c>
      <c r="J3" s="68"/>
      <c r="K3" s="68"/>
      <c r="L3" s="82"/>
      <c r="M3" s="39">
        <f>SUM(C3:I3)</f>
        <v>2517</v>
      </c>
      <c r="N3" s="36">
        <v>3</v>
      </c>
      <c r="O3" s="36">
        <v>5</v>
      </c>
      <c r="P3" s="36">
        <v>-14</v>
      </c>
      <c r="Q3" s="36">
        <v>0</v>
      </c>
    </row>
    <row r="4" spans="1:17" s="32" customFormat="1" ht="15.75">
      <c r="A4" s="26" t="s">
        <v>1</v>
      </c>
      <c r="B4" s="26" t="s">
        <v>17</v>
      </c>
      <c r="C4" s="61">
        <v>370</v>
      </c>
      <c r="D4" s="66">
        <v>438</v>
      </c>
      <c r="E4" s="62">
        <v>403</v>
      </c>
      <c r="F4" s="61">
        <v>385</v>
      </c>
      <c r="G4" s="83">
        <v>433</v>
      </c>
      <c r="H4" s="61"/>
      <c r="I4" s="83">
        <v>417</v>
      </c>
      <c r="J4" s="61"/>
      <c r="K4" s="61"/>
      <c r="L4" s="49"/>
      <c r="M4" s="30">
        <f aca="true" t="shared" si="0" ref="M4:M17">SUM(C4:I4)</f>
        <v>2446</v>
      </c>
      <c r="N4" s="26">
        <v>3</v>
      </c>
      <c r="O4" s="26">
        <v>5</v>
      </c>
      <c r="P4" s="26">
        <v>-20</v>
      </c>
      <c r="Q4" s="26">
        <v>0</v>
      </c>
    </row>
    <row r="5" spans="1:17" s="32" customFormat="1" ht="15.75">
      <c r="A5" s="26" t="s">
        <v>2</v>
      </c>
      <c r="B5" s="26" t="s">
        <v>18</v>
      </c>
      <c r="C5" s="61"/>
      <c r="D5" s="66">
        <v>452</v>
      </c>
      <c r="E5" s="62">
        <v>419</v>
      </c>
      <c r="F5" s="83">
        <v>431</v>
      </c>
      <c r="G5" s="61">
        <v>400</v>
      </c>
      <c r="H5" s="61">
        <v>414</v>
      </c>
      <c r="I5" s="61">
        <v>403</v>
      </c>
      <c r="J5" s="61"/>
      <c r="K5" s="61"/>
      <c r="L5" s="49"/>
      <c r="M5" s="30">
        <f t="shared" si="0"/>
        <v>2519</v>
      </c>
      <c r="N5" s="26">
        <v>2</v>
      </c>
      <c r="O5" s="26">
        <v>6</v>
      </c>
      <c r="P5" s="26">
        <v>-213</v>
      </c>
      <c r="Q5" s="26">
        <v>0</v>
      </c>
    </row>
    <row r="6" spans="1:17" s="57" customFormat="1" ht="15.75">
      <c r="A6" s="1" t="s">
        <v>3</v>
      </c>
      <c r="B6" s="21" t="s">
        <v>24</v>
      </c>
      <c r="C6" s="61"/>
      <c r="D6" s="65"/>
      <c r="E6" s="65"/>
      <c r="F6" s="73"/>
      <c r="G6" s="73"/>
      <c r="H6" s="73"/>
      <c r="I6" s="73"/>
      <c r="J6" s="73"/>
      <c r="K6" s="73"/>
      <c r="L6" s="18"/>
      <c r="M6" s="7">
        <f t="shared" si="0"/>
        <v>0</v>
      </c>
      <c r="N6" s="1"/>
      <c r="O6" s="1"/>
      <c r="P6" s="1"/>
      <c r="Q6" s="1"/>
    </row>
    <row r="7" spans="1:17" s="32" customFormat="1" ht="15.75">
      <c r="A7" s="26" t="s">
        <v>4</v>
      </c>
      <c r="B7" s="26" t="s">
        <v>26</v>
      </c>
      <c r="C7" s="61">
        <v>409</v>
      </c>
      <c r="D7" s="62">
        <v>412</v>
      </c>
      <c r="E7" s="66">
        <v>437</v>
      </c>
      <c r="F7" s="83">
        <v>448</v>
      </c>
      <c r="G7" s="61"/>
      <c r="H7" s="61">
        <v>420</v>
      </c>
      <c r="I7" s="83">
        <v>422</v>
      </c>
      <c r="J7" s="61"/>
      <c r="K7" s="61"/>
      <c r="L7" s="49"/>
      <c r="M7" s="30">
        <f t="shared" si="0"/>
        <v>2548</v>
      </c>
      <c r="N7" s="26">
        <v>3</v>
      </c>
      <c r="O7" s="26">
        <v>5</v>
      </c>
      <c r="P7" s="26">
        <v>-15</v>
      </c>
      <c r="Q7" s="26">
        <v>0</v>
      </c>
    </row>
    <row r="8" spans="1:17" s="41" customFormat="1" ht="15.75">
      <c r="A8" s="36" t="s">
        <v>5</v>
      </c>
      <c r="B8" s="36" t="s">
        <v>19</v>
      </c>
      <c r="C8" s="64"/>
      <c r="D8" s="72">
        <v>431</v>
      </c>
      <c r="E8" s="72">
        <v>489</v>
      </c>
      <c r="F8" s="68">
        <v>405</v>
      </c>
      <c r="G8" s="81">
        <v>421</v>
      </c>
      <c r="H8" s="81">
        <v>430</v>
      </c>
      <c r="I8" s="68">
        <v>406</v>
      </c>
      <c r="J8" s="68"/>
      <c r="K8" s="68"/>
      <c r="L8" s="54"/>
      <c r="M8" s="39">
        <f t="shared" si="0"/>
        <v>2582</v>
      </c>
      <c r="N8" s="36">
        <v>6</v>
      </c>
      <c r="O8" s="36">
        <v>2</v>
      </c>
      <c r="P8" s="39">
        <f>M8-2419</f>
        <v>163</v>
      </c>
      <c r="Q8" s="36">
        <v>2</v>
      </c>
    </row>
    <row r="9" spans="1:17" s="32" customFormat="1" ht="15.75">
      <c r="A9" s="26" t="s">
        <v>6</v>
      </c>
      <c r="B9" s="26" t="s">
        <v>27</v>
      </c>
      <c r="C9" s="61">
        <v>401</v>
      </c>
      <c r="D9" s="66">
        <v>447</v>
      </c>
      <c r="E9" s="66">
        <v>439</v>
      </c>
      <c r="F9" s="61"/>
      <c r="G9" s="61">
        <v>397</v>
      </c>
      <c r="H9" s="83">
        <v>441</v>
      </c>
      <c r="I9" s="83">
        <v>418</v>
      </c>
      <c r="J9" s="61"/>
      <c r="K9" s="61"/>
      <c r="L9" s="49"/>
      <c r="M9" s="30">
        <f t="shared" si="0"/>
        <v>2543</v>
      </c>
      <c r="N9" s="26">
        <v>6</v>
      </c>
      <c r="O9" s="26">
        <v>2</v>
      </c>
      <c r="P9" s="26">
        <v>10</v>
      </c>
      <c r="Q9" s="26">
        <v>2</v>
      </c>
    </row>
    <row r="10" spans="1:17" s="41" customFormat="1" ht="15.75">
      <c r="A10" s="36" t="s">
        <v>7</v>
      </c>
      <c r="B10" s="36" t="s">
        <v>21</v>
      </c>
      <c r="C10" s="72">
        <v>410</v>
      </c>
      <c r="D10" s="64">
        <v>392</v>
      </c>
      <c r="E10" s="64">
        <v>398</v>
      </c>
      <c r="F10" s="81">
        <v>429</v>
      </c>
      <c r="G10" s="68"/>
      <c r="H10" s="81">
        <v>413</v>
      </c>
      <c r="I10" s="68">
        <v>367</v>
      </c>
      <c r="J10" s="68"/>
      <c r="K10" s="68"/>
      <c r="L10" s="54"/>
      <c r="M10" s="39">
        <f t="shared" si="0"/>
        <v>2409</v>
      </c>
      <c r="N10" s="36">
        <v>3</v>
      </c>
      <c r="O10" s="36">
        <v>5</v>
      </c>
      <c r="P10" s="36">
        <v>-30</v>
      </c>
      <c r="Q10" s="36">
        <v>0</v>
      </c>
    </row>
    <row r="11" spans="1:17" s="32" customFormat="1" ht="15.75">
      <c r="A11" s="26" t="s">
        <v>8</v>
      </c>
      <c r="B11" s="26" t="s">
        <v>20</v>
      </c>
      <c r="C11" s="62">
        <v>408</v>
      </c>
      <c r="D11" s="66">
        <v>430</v>
      </c>
      <c r="E11" s="66">
        <v>415</v>
      </c>
      <c r="F11" s="66">
        <v>412</v>
      </c>
      <c r="G11" s="66">
        <v>448</v>
      </c>
      <c r="H11" s="62">
        <v>399</v>
      </c>
      <c r="I11" s="62"/>
      <c r="J11" s="61"/>
      <c r="K11" s="61"/>
      <c r="L11" s="49"/>
      <c r="M11" s="30">
        <f t="shared" si="0"/>
        <v>2512</v>
      </c>
      <c r="N11" s="26">
        <v>6</v>
      </c>
      <c r="O11" s="26">
        <v>2</v>
      </c>
      <c r="P11" s="26">
        <v>130</v>
      </c>
      <c r="Q11" s="26">
        <v>2</v>
      </c>
    </row>
    <row r="12" spans="1:17" s="41" customFormat="1" ht="15.75">
      <c r="A12" s="36" t="s">
        <v>9</v>
      </c>
      <c r="B12" s="36" t="s">
        <v>33</v>
      </c>
      <c r="C12" s="64">
        <v>383</v>
      </c>
      <c r="D12" s="72">
        <v>426</v>
      </c>
      <c r="E12" s="72">
        <v>410</v>
      </c>
      <c r="F12" s="81">
        <v>409</v>
      </c>
      <c r="G12" s="81">
        <v>420</v>
      </c>
      <c r="H12" s="68">
        <v>356</v>
      </c>
      <c r="I12" s="68"/>
      <c r="J12" s="68"/>
      <c r="K12" s="68"/>
      <c r="L12" s="54"/>
      <c r="M12" s="39">
        <f t="shared" si="0"/>
        <v>2404</v>
      </c>
      <c r="N12" s="36">
        <v>6</v>
      </c>
      <c r="O12" s="36">
        <v>2</v>
      </c>
      <c r="P12" s="39">
        <f>M12-2059</f>
        <v>345</v>
      </c>
      <c r="Q12" s="36">
        <v>2</v>
      </c>
    </row>
    <row r="13" spans="1:17" s="32" customFormat="1" ht="15.75">
      <c r="A13" s="26" t="s">
        <v>10</v>
      </c>
      <c r="B13" s="26" t="s">
        <v>28</v>
      </c>
      <c r="C13" s="61">
        <v>367</v>
      </c>
      <c r="D13" s="66">
        <v>453</v>
      </c>
      <c r="E13" s="62">
        <v>406</v>
      </c>
      <c r="F13" s="83">
        <v>439</v>
      </c>
      <c r="G13" s="83">
        <v>433</v>
      </c>
      <c r="H13" s="61"/>
      <c r="I13" s="61">
        <v>422</v>
      </c>
      <c r="J13" s="61"/>
      <c r="K13" s="61"/>
      <c r="L13" s="49"/>
      <c r="M13" s="30">
        <f t="shared" si="0"/>
        <v>2520</v>
      </c>
      <c r="N13" s="26">
        <v>3</v>
      </c>
      <c r="O13" s="26">
        <v>5</v>
      </c>
      <c r="P13" s="26">
        <v>-165</v>
      </c>
      <c r="Q13" s="26">
        <v>0</v>
      </c>
    </row>
    <row r="14" spans="1:17" s="41" customFormat="1" ht="15.75">
      <c r="A14" s="36" t="s">
        <v>11</v>
      </c>
      <c r="B14" s="36" t="s">
        <v>25</v>
      </c>
      <c r="C14" s="64"/>
      <c r="D14" s="72">
        <v>411</v>
      </c>
      <c r="E14" s="72">
        <v>445</v>
      </c>
      <c r="F14" s="81">
        <v>444</v>
      </c>
      <c r="G14" s="68">
        <v>373</v>
      </c>
      <c r="H14" s="81">
        <v>422</v>
      </c>
      <c r="I14" s="68">
        <v>392</v>
      </c>
      <c r="J14" s="68"/>
      <c r="K14" s="68"/>
      <c r="L14" s="54"/>
      <c r="M14" s="39">
        <f t="shared" si="0"/>
        <v>2487</v>
      </c>
      <c r="N14" s="36">
        <v>6</v>
      </c>
      <c r="O14" s="36">
        <v>2</v>
      </c>
      <c r="P14" s="36">
        <v>185</v>
      </c>
      <c r="Q14" s="36">
        <v>2</v>
      </c>
    </row>
    <row r="15" spans="1:17" s="32" customFormat="1" ht="15.75">
      <c r="A15" s="26" t="s">
        <v>12</v>
      </c>
      <c r="B15" s="26" t="s">
        <v>16</v>
      </c>
      <c r="C15" s="61">
        <v>392</v>
      </c>
      <c r="D15" s="62">
        <v>391</v>
      </c>
      <c r="E15" s="62">
        <v>406</v>
      </c>
      <c r="F15" s="83">
        <v>408</v>
      </c>
      <c r="G15" s="61"/>
      <c r="H15" s="61">
        <v>394</v>
      </c>
      <c r="I15" s="61">
        <v>413</v>
      </c>
      <c r="J15" s="61"/>
      <c r="K15" s="61"/>
      <c r="L15" s="49"/>
      <c r="M15" s="30">
        <f t="shared" si="0"/>
        <v>2404</v>
      </c>
      <c r="N15" s="26">
        <v>1</v>
      </c>
      <c r="O15" s="26">
        <v>7</v>
      </c>
      <c r="P15" s="26">
        <v>-128</v>
      </c>
      <c r="Q15" s="26">
        <v>0</v>
      </c>
    </row>
    <row r="16" spans="1:17" s="41" customFormat="1" ht="15.75">
      <c r="A16" s="36" t="s">
        <v>13</v>
      </c>
      <c r="B16" s="36" t="s">
        <v>29</v>
      </c>
      <c r="C16" s="64"/>
      <c r="D16" s="72">
        <v>453</v>
      </c>
      <c r="E16" s="64">
        <v>394</v>
      </c>
      <c r="F16" s="68">
        <v>392</v>
      </c>
      <c r="G16" s="68">
        <v>394</v>
      </c>
      <c r="H16" s="81">
        <v>398</v>
      </c>
      <c r="I16" s="68">
        <v>380</v>
      </c>
      <c r="J16" s="68"/>
      <c r="K16" s="68"/>
      <c r="L16" s="54"/>
      <c r="M16" s="39">
        <f t="shared" si="0"/>
        <v>2411</v>
      </c>
      <c r="N16" s="36">
        <v>2</v>
      </c>
      <c r="O16" s="36">
        <v>6</v>
      </c>
      <c r="P16" s="36">
        <v>-80</v>
      </c>
      <c r="Q16" s="36">
        <v>0</v>
      </c>
    </row>
    <row r="17" spans="1:17" s="32" customFormat="1" ht="16.5" thickBot="1">
      <c r="A17" s="26" t="s">
        <v>14</v>
      </c>
      <c r="B17" s="26" t="s">
        <v>15</v>
      </c>
      <c r="C17" s="101">
        <v>418</v>
      </c>
      <c r="D17" s="69">
        <v>394</v>
      </c>
      <c r="E17" s="69">
        <v>400</v>
      </c>
      <c r="F17" s="69">
        <v>398</v>
      </c>
      <c r="G17" s="69"/>
      <c r="H17" s="69">
        <v>373</v>
      </c>
      <c r="I17" s="69">
        <v>385</v>
      </c>
      <c r="J17" s="69"/>
      <c r="K17" s="69"/>
      <c r="L17" s="70"/>
      <c r="M17" s="74">
        <f t="shared" si="0"/>
        <v>2368</v>
      </c>
      <c r="N17" s="35">
        <v>1</v>
      </c>
      <c r="O17" s="35">
        <v>7</v>
      </c>
      <c r="P17" s="35">
        <v>-141</v>
      </c>
      <c r="Q17" s="35">
        <v>0</v>
      </c>
    </row>
    <row r="18" spans="3:12" ht="16.5" thickTop="1">
      <c r="C18" s="7">
        <f aca="true" t="shared" si="1" ref="C18:L18">SUM(C3:C17)</f>
        <v>3966</v>
      </c>
      <c r="D18" s="7">
        <f t="shared" si="1"/>
        <v>5988</v>
      </c>
      <c r="E18" s="7">
        <f t="shared" si="1"/>
        <v>5900</v>
      </c>
      <c r="F18" s="7">
        <f t="shared" si="1"/>
        <v>5406</v>
      </c>
      <c r="G18" s="7">
        <f t="shared" si="1"/>
        <v>3719</v>
      </c>
      <c r="H18" s="7">
        <f t="shared" si="1"/>
        <v>4850</v>
      </c>
      <c r="I18" s="7">
        <f t="shared" si="1"/>
        <v>4841</v>
      </c>
      <c r="J18" s="7">
        <f t="shared" si="1"/>
        <v>0</v>
      </c>
      <c r="K18" s="7">
        <f t="shared" si="1"/>
        <v>0</v>
      </c>
      <c r="L18" s="11">
        <f t="shared" si="1"/>
        <v>0</v>
      </c>
    </row>
    <row r="19" spans="2:19" ht="35.25" customHeight="1">
      <c r="B19" s="16" t="s">
        <v>163</v>
      </c>
      <c r="C19" s="22">
        <f>C18/10</f>
        <v>396.6</v>
      </c>
      <c r="D19" s="22">
        <f>D18/14</f>
        <v>427.7142857142857</v>
      </c>
      <c r="E19" s="22">
        <f>E18/14</f>
        <v>421.42857142857144</v>
      </c>
      <c r="F19" s="22">
        <f>F18/13</f>
        <v>415.84615384615387</v>
      </c>
      <c r="G19" s="22">
        <f>G18/9</f>
        <v>413.22222222222223</v>
      </c>
      <c r="H19" s="22">
        <f>H18/12</f>
        <v>404.1666666666667</v>
      </c>
      <c r="I19" s="22">
        <f>I18/12</f>
        <v>403.4166666666667</v>
      </c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34670</v>
      </c>
      <c r="N20" s="1">
        <f>SUM(N3:N17)</f>
        <v>51</v>
      </c>
      <c r="O20" s="1">
        <f>SUM(O3:O17)</f>
        <v>61</v>
      </c>
      <c r="P20" s="1">
        <f>SUM(P3:P17)</f>
        <v>27</v>
      </c>
      <c r="Q20" s="1">
        <f>SUM(Q3:Q17)</f>
        <v>10</v>
      </c>
      <c r="S20" s="2">
        <f>N20-O20</f>
        <v>-10</v>
      </c>
    </row>
    <row r="21" spans="3:4" ht="15.75">
      <c r="C21" s="119" t="s">
        <v>52</v>
      </c>
      <c r="D21" s="119"/>
    </row>
    <row r="22" spans="3:14" ht="15.75">
      <c r="C22" s="116" t="s">
        <v>168</v>
      </c>
      <c r="D22" s="116"/>
      <c r="M22" s="1" t="s">
        <v>164</v>
      </c>
      <c r="N22" s="24">
        <f>SUM(M3:M17)/14</f>
        <v>2476.4285714285716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1:13" ht="15.75">
      <c r="A25" s="92" t="s">
        <v>183</v>
      </c>
      <c r="B25" s="86"/>
      <c r="C25" s="73" t="s">
        <v>187</v>
      </c>
      <c r="D25" s="86" t="s">
        <v>181</v>
      </c>
      <c r="E25" s="93" t="s">
        <v>182</v>
      </c>
      <c r="I25" s="1">
        <f>N20+N45</f>
        <v>110</v>
      </c>
      <c r="J25" s="1">
        <f>O20+O45</f>
        <v>114</v>
      </c>
      <c r="K25" s="1">
        <f>Q20+Q45</f>
        <v>26</v>
      </c>
      <c r="L25" s="115">
        <f>I25-J25</f>
        <v>-4</v>
      </c>
      <c r="M25" s="115"/>
    </row>
    <row r="26" ht="15.75">
      <c r="F26" s="86"/>
    </row>
    <row r="27" ht="15.75">
      <c r="F27" s="86"/>
    </row>
    <row r="29" spans="2:17" ht="32.25" thickBot="1">
      <c r="B29" s="3" t="s">
        <v>30</v>
      </c>
      <c r="C29" s="13" t="s">
        <v>67</v>
      </c>
      <c r="D29" s="13" t="s">
        <v>68</v>
      </c>
      <c r="E29" s="13" t="s">
        <v>69</v>
      </c>
      <c r="F29" s="13" t="s">
        <v>70</v>
      </c>
      <c r="G29" s="13" t="s">
        <v>71</v>
      </c>
      <c r="H29" s="13" t="s">
        <v>72</v>
      </c>
      <c r="I29" s="13" t="s">
        <v>152</v>
      </c>
      <c r="J29" s="13"/>
      <c r="K29" s="13"/>
      <c r="L29" s="13"/>
      <c r="M29" s="3" t="s">
        <v>39</v>
      </c>
      <c r="N29" s="3" t="s">
        <v>23</v>
      </c>
      <c r="O29" s="3" t="s">
        <v>38</v>
      </c>
      <c r="P29" s="3" t="s">
        <v>40</v>
      </c>
      <c r="Q29" s="15" t="s">
        <v>143</v>
      </c>
    </row>
    <row r="30" spans="1:17" s="32" customFormat="1" ht="15.75">
      <c r="A30" s="26" t="s">
        <v>198</v>
      </c>
      <c r="B30" s="26" t="s">
        <v>21</v>
      </c>
      <c r="C30" s="26">
        <v>395</v>
      </c>
      <c r="D30" s="87">
        <v>424</v>
      </c>
      <c r="E30" s="87">
        <v>453</v>
      </c>
      <c r="F30" s="26">
        <v>395</v>
      </c>
      <c r="G30" s="26">
        <v>211</v>
      </c>
      <c r="H30" s="26">
        <v>194</v>
      </c>
      <c r="I30" s="87">
        <v>431</v>
      </c>
      <c r="J30" s="26"/>
      <c r="K30" s="26"/>
      <c r="L30" s="26"/>
      <c r="M30" s="26">
        <f>SUM(C30:I30)</f>
        <v>2503</v>
      </c>
      <c r="N30" s="26">
        <v>5</v>
      </c>
      <c r="O30" s="26">
        <v>3</v>
      </c>
      <c r="P30" s="26">
        <v>43</v>
      </c>
      <c r="Q30" s="26">
        <v>2</v>
      </c>
    </row>
    <row r="31" spans="1:17" s="41" customFormat="1" ht="15.75">
      <c r="A31" s="36" t="s">
        <v>202</v>
      </c>
      <c r="B31" s="36" t="s">
        <v>27</v>
      </c>
      <c r="C31" s="67">
        <v>432</v>
      </c>
      <c r="D31" s="67">
        <v>437</v>
      </c>
      <c r="E31" s="36">
        <v>399</v>
      </c>
      <c r="F31" s="36">
        <v>398</v>
      </c>
      <c r="G31" s="36">
        <v>408</v>
      </c>
      <c r="H31" s="36"/>
      <c r="I31" s="36">
        <v>402</v>
      </c>
      <c r="J31" s="36"/>
      <c r="K31" s="36"/>
      <c r="L31" s="36"/>
      <c r="M31" s="36">
        <f>SUM(C31:I31)</f>
        <v>2476</v>
      </c>
      <c r="N31" s="36">
        <v>2</v>
      </c>
      <c r="O31" s="36">
        <v>6</v>
      </c>
      <c r="P31" s="36">
        <f>M31-2531</f>
        <v>-55</v>
      </c>
      <c r="Q31" s="36">
        <v>0</v>
      </c>
    </row>
    <row r="32" spans="1:17" s="32" customFormat="1" ht="15.75">
      <c r="A32" s="26" t="s">
        <v>204</v>
      </c>
      <c r="B32" s="26" t="s">
        <v>19</v>
      </c>
      <c r="C32" s="26">
        <v>406</v>
      </c>
      <c r="D32" s="87">
        <v>415</v>
      </c>
      <c r="E32" s="87">
        <v>471</v>
      </c>
      <c r="F32" s="26"/>
      <c r="G32" s="87">
        <v>423</v>
      </c>
      <c r="H32" s="87">
        <v>423</v>
      </c>
      <c r="I32" s="87">
        <v>439</v>
      </c>
      <c r="J32" s="26"/>
      <c r="K32" s="26"/>
      <c r="L32" s="26"/>
      <c r="M32" s="26">
        <f>SUM(C32:I32)</f>
        <v>2577</v>
      </c>
      <c r="N32" s="26">
        <v>7</v>
      </c>
      <c r="O32" s="26">
        <v>1</v>
      </c>
      <c r="P32" s="26">
        <f>M32-2407</f>
        <v>170</v>
      </c>
      <c r="Q32" s="26">
        <v>2</v>
      </c>
    </row>
    <row r="33" spans="1:17" s="41" customFormat="1" ht="15.75">
      <c r="A33" s="36" t="s">
        <v>205</v>
      </c>
      <c r="B33" s="36" t="s">
        <v>26</v>
      </c>
      <c r="C33" s="36"/>
      <c r="D33" s="67">
        <v>436</v>
      </c>
      <c r="E33" s="67">
        <v>445</v>
      </c>
      <c r="F33" s="36">
        <v>422</v>
      </c>
      <c r="G33" s="67">
        <v>439</v>
      </c>
      <c r="H33" s="36">
        <v>430</v>
      </c>
      <c r="I33" s="67">
        <v>450</v>
      </c>
      <c r="J33" s="36"/>
      <c r="K33" s="36"/>
      <c r="L33" s="36"/>
      <c r="M33" s="36">
        <f>SUM(C33:I33)</f>
        <v>2622</v>
      </c>
      <c r="N33" s="36">
        <v>6</v>
      </c>
      <c r="O33" s="36">
        <v>2</v>
      </c>
      <c r="P33" s="36">
        <f>M33-2567</f>
        <v>55</v>
      </c>
      <c r="Q33" s="36">
        <v>2</v>
      </c>
    </row>
    <row r="34" spans="1:17" s="104" customFormat="1" ht="15.75">
      <c r="A34" s="103" t="s">
        <v>207</v>
      </c>
      <c r="B34" s="103" t="s">
        <v>24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>
        <f aca="true" t="shared" si="2" ref="M34:M44">SUM(C34:I34)</f>
        <v>0</v>
      </c>
      <c r="N34" s="103"/>
      <c r="O34" s="103"/>
      <c r="P34" s="103"/>
      <c r="Q34" s="103"/>
    </row>
    <row r="35" spans="1:17" s="41" customFormat="1" ht="15.75">
      <c r="A35" s="36" t="s">
        <v>208</v>
      </c>
      <c r="B35" s="36" t="s">
        <v>18</v>
      </c>
      <c r="C35" s="36">
        <v>414</v>
      </c>
      <c r="D35" s="67">
        <v>442</v>
      </c>
      <c r="E35" s="67">
        <v>463</v>
      </c>
      <c r="F35" s="36"/>
      <c r="G35" s="67">
        <v>421</v>
      </c>
      <c r="H35" s="36">
        <v>389</v>
      </c>
      <c r="I35" s="67">
        <v>431</v>
      </c>
      <c r="J35" s="36"/>
      <c r="K35" s="36"/>
      <c r="L35" s="36"/>
      <c r="M35" s="36">
        <f t="shared" si="2"/>
        <v>2560</v>
      </c>
      <c r="N35" s="36">
        <v>6</v>
      </c>
      <c r="O35" s="36">
        <v>2</v>
      </c>
      <c r="P35" s="36">
        <v>83</v>
      </c>
      <c r="Q35" s="36">
        <v>2</v>
      </c>
    </row>
    <row r="36" spans="1:17" s="41" customFormat="1" ht="15.75">
      <c r="A36" s="36" t="s">
        <v>209</v>
      </c>
      <c r="B36" s="36" t="s">
        <v>17</v>
      </c>
      <c r="C36" s="36">
        <v>404</v>
      </c>
      <c r="D36" s="67">
        <v>409</v>
      </c>
      <c r="E36" s="67">
        <v>428</v>
      </c>
      <c r="F36" s="36">
        <v>383</v>
      </c>
      <c r="G36" s="36">
        <v>398</v>
      </c>
      <c r="H36" s="36"/>
      <c r="I36" s="67">
        <v>456</v>
      </c>
      <c r="J36" s="36"/>
      <c r="K36" s="36"/>
      <c r="L36" s="36"/>
      <c r="M36" s="36">
        <f t="shared" si="2"/>
        <v>2478</v>
      </c>
      <c r="N36" s="36">
        <v>3</v>
      </c>
      <c r="O36" s="36">
        <v>5</v>
      </c>
      <c r="P36" s="36">
        <v>-27</v>
      </c>
      <c r="Q36" s="36">
        <v>0</v>
      </c>
    </row>
    <row r="37" spans="1:17" s="32" customFormat="1" ht="15.75">
      <c r="A37" s="26" t="s">
        <v>210</v>
      </c>
      <c r="B37" s="26" t="s">
        <v>31</v>
      </c>
      <c r="C37" s="26">
        <v>412</v>
      </c>
      <c r="D37" s="87">
        <v>445</v>
      </c>
      <c r="E37" s="26">
        <v>417</v>
      </c>
      <c r="F37" s="87">
        <v>421</v>
      </c>
      <c r="G37" s="26">
        <v>396</v>
      </c>
      <c r="H37" s="26">
        <v>393</v>
      </c>
      <c r="I37" s="26"/>
      <c r="J37" s="26"/>
      <c r="K37" s="26"/>
      <c r="L37" s="26"/>
      <c r="M37" s="26">
        <f t="shared" si="2"/>
        <v>2484</v>
      </c>
      <c r="N37" s="26">
        <v>2</v>
      </c>
      <c r="O37" s="26">
        <v>6</v>
      </c>
      <c r="P37" s="26">
        <f>M37-2533</f>
        <v>-49</v>
      </c>
      <c r="Q37" s="26">
        <v>0</v>
      </c>
    </row>
    <row r="38" spans="1:17" s="41" customFormat="1" ht="15.75">
      <c r="A38" s="36" t="s">
        <v>211</v>
      </c>
      <c r="B38" s="36" t="s">
        <v>15</v>
      </c>
      <c r="C38" s="67">
        <v>429</v>
      </c>
      <c r="D38" s="67">
        <v>421</v>
      </c>
      <c r="E38" s="36">
        <v>405</v>
      </c>
      <c r="F38" s="67">
        <v>408</v>
      </c>
      <c r="G38" s="36">
        <v>390</v>
      </c>
      <c r="H38" s="36">
        <v>402</v>
      </c>
      <c r="I38" s="36"/>
      <c r="J38" s="36"/>
      <c r="K38" s="36"/>
      <c r="L38" s="36"/>
      <c r="M38" s="36">
        <f t="shared" si="2"/>
        <v>2455</v>
      </c>
      <c r="N38" s="36">
        <v>3</v>
      </c>
      <c r="O38" s="36">
        <v>5</v>
      </c>
      <c r="P38" s="36">
        <v>-76</v>
      </c>
      <c r="Q38" s="36">
        <v>0</v>
      </c>
    </row>
    <row r="39" spans="1:17" s="32" customFormat="1" ht="15.75">
      <c r="A39" s="26" t="s">
        <v>212</v>
      </c>
      <c r="B39" s="26" t="s">
        <v>29</v>
      </c>
      <c r="C39" s="26">
        <v>380</v>
      </c>
      <c r="D39" s="26">
        <v>397</v>
      </c>
      <c r="E39" s="87">
        <v>428</v>
      </c>
      <c r="F39" s="26">
        <v>392</v>
      </c>
      <c r="G39" s="26"/>
      <c r="H39" s="87">
        <v>408</v>
      </c>
      <c r="I39" s="87">
        <v>401</v>
      </c>
      <c r="J39" s="26"/>
      <c r="K39" s="26"/>
      <c r="L39" s="26"/>
      <c r="M39" s="26">
        <f t="shared" si="2"/>
        <v>2406</v>
      </c>
      <c r="N39" s="26">
        <v>5</v>
      </c>
      <c r="O39" s="26">
        <v>3</v>
      </c>
      <c r="P39" s="26">
        <v>25</v>
      </c>
      <c r="Q39" s="26">
        <v>2</v>
      </c>
    </row>
    <row r="40" spans="1:17" s="41" customFormat="1" ht="15.75">
      <c r="A40" s="36" t="s">
        <v>213</v>
      </c>
      <c r="B40" s="36" t="s">
        <v>16</v>
      </c>
      <c r="C40" s="36"/>
      <c r="D40" s="36">
        <v>428</v>
      </c>
      <c r="E40" s="36">
        <v>434</v>
      </c>
      <c r="F40" s="36">
        <v>436</v>
      </c>
      <c r="G40" s="36">
        <v>439</v>
      </c>
      <c r="H40" s="36">
        <v>424</v>
      </c>
      <c r="I40" s="36">
        <v>447</v>
      </c>
      <c r="J40" s="36"/>
      <c r="K40" s="36"/>
      <c r="L40" s="36"/>
      <c r="M40" s="36">
        <f t="shared" si="2"/>
        <v>2608</v>
      </c>
      <c r="N40" s="36">
        <v>5</v>
      </c>
      <c r="O40" s="36">
        <v>3</v>
      </c>
      <c r="P40" s="36">
        <v>15</v>
      </c>
      <c r="Q40" s="36">
        <v>2</v>
      </c>
    </row>
    <row r="41" spans="1:17" s="32" customFormat="1" ht="15.75">
      <c r="A41" s="26" t="s">
        <v>214</v>
      </c>
      <c r="B41" s="26" t="s">
        <v>25</v>
      </c>
      <c r="C41" s="87">
        <v>420</v>
      </c>
      <c r="D41" s="87">
        <v>407</v>
      </c>
      <c r="E41" s="87">
        <v>418</v>
      </c>
      <c r="F41" s="87">
        <v>433</v>
      </c>
      <c r="G41" s="26">
        <v>407</v>
      </c>
      <c r="H41" s="87">
        <v>433</v>
      </c>
      <c r="I41" s="26"/>
      <c r="J41" s="26"/>
      <c r="K41" s="26"/>
      <c r="L41" s="26"/>
      <c r="M41" s="26">
        <f t="shared" si="2"/>
        <v>2518</v>
      </c>
      <c r="N41" s="26">
        <v>7</v>
      </c>
      <c r="O41" s="26">
        <v>1</v>
      </c>
      <c r="P41" s="26">
        <v>242</v>
      </c>
      <c r="Q41" s="26">
        <v>2</v>
      </c>
    </row>
    <row r="42" spans="1:17" s="41" customFormat="1" ht="15.75">
      <c r="A42" s="36" t="s">
        <v>215</v>
      </c>
      <c r="B42" s="36" t="s">
        <v>28</v>
      </c>
      <c r="C42" s="67">
        <v>432</v>
      </c>
      <c r="D42" s="36">
        <v>417</v>
      </c>
      <c r="E42" s="36">
        <v>427</v>
      </c>
      <c r="F42" s="36">
        <v>404</v>
      </c>
      <c r="G42" s="36"/>
      <c r="H42" s="36">
        <v>428</v>
      </c>
      <c r="I42" s="36">
        <v>391</v>
      </c>
      <c r="J42" s="36"/>
      <c r="K42" s="36"/>
      <c r="L42" s="36"/>
      <c r="M42" s="36">
        <f t="shared" si="2"/>
        <v>2499</v>
      </c>
      <c r="N42" s="36">
        <v>1</v>
      </c>
      <c r="O42" s="36">
        <v>7</v>
      </c>
      <c r="P42" s="36">
        <v>-131</v>
      </c>
      <c r="Q42" s="36">
        <v>0</v>
      </c>
    </row>
    <row r="43" spans="1:17" s="32" customFormat="1" ht="15.75">
      <c r="A43" s="26" t="s">
        <v>216</v>
      </c>
      <c r="B43" s="26" t="s">
        <v>33</v>
      </c>
      <c r="C43" s="26">
        <v>395</v>
      </c>
      <c r="D43" s="26">
        <v>363</v>
      </c>
      <c r="E43" s="87">
        <v>416</v>
      </c>
      <c r="F43" s="26">
        <v>409</v>
      </c>
      <c r="G43" s="87">
        <v>427</v>
      </c>
      <c r="H43" s="26">
        <v>397</v>
      </c>
      <c r="I43" s="26"/>
      <c r="J43" s="26"/>
      <c r="K43" s="26"/>
      <c r="L43" s="26"/>
      <c r="M43" s="26">
        <f t="shared" si="2"/>
        <v>2407</v>
      </c>
      <c r="N43" s="26">
        <v>2</v>
      </c>
      <c r="O43" s="26">
        <v>6</v>
      </c>
      <c r="P43" s="26">
        <v>-108</v>
      </c>
      <c r="Q43" s="26">
        <v>0</v>
      </c>
    </row>
    <row r="44" spans="1:17" s="41" customFormat="1" ht="16.5" thickBot="1">
      <c r="A44" s="36" t="s">
        <v>217</v>
      </c>
      <c r="B44" s="36" t="s">
        <v>20</v>
      </c>
      <c r="C44" s="36">
        <v>426</v>
      </c>
      <c r="D44" s="36">
        <v>416</v>
      </c>
      <c r="E44" s="36"/>
      <c r="F44" s="67">
        <v>437</v>
      </c>
      <c r="G44" s="67">
        <v>452</v>
      </c>
      <c r="H44" s="36">
        <v>404</v>
      </c>
      <c r="I44" s="67">
        <v>428</v>
      </c>
      <c r="J44" s="36"/>
      <c r="K44" s="36"/>
      <c r="L44" s="36"/>
      <c r="M44" s="36">
        <f t="shared" si="2"/>
        <v>2563</v>
      </c>
      <c r="N44" s="53">
        <v>5</v>
      </c>
      <c r="O44" s="53">
        <v>3</v>
      </c>
      <c r="P44" s="53">
        <v>32</v>
      </c>
      <c r="Q44" s="53">
        <v>2</v>
      </c>
    </row>
    <row r="45" spans="14:17" ht="16.5" thickTop="1">
      <c r="N45" s="1">
        <f>SUM(N30:N44)</f>
        <v>59</v>
      </c>
      <c r="O45" s="1">
        <f>SUM(O30:O44)</f>
        <v>53</v>
      </c>
      <c r="P45" s="1">
        <f>SUM(P30:P44)</f>
        <v>219</v>
      </c>
      <c r="Q45" s="1">
        <f>SUM(Q30:Q44)</f>
        <v>16</v>
      </c>
    </row>
    <row r="48" ht="15.75">
      <c r="K48" s="14"/>
    </row>
  </sheetData>
  <mergeCells count="9">
    <mergeCell ref="C1:L1"/>
    <mergeCell ref="N1:O1"/>
    <mergeCell ref="C21:D21"/>
    <mergeCell ref="N19:O19"/>
    <mergeCell ref="I24:J24"/>
    <mergeCell ref="L24:M24"/>
    <mergeCell ref="L25:M25"/>
    <mergeCell ref="C22:D22"/>
    <mergeCell ref="C23:D23"/>
  </mergeCells>
  <printOptions/>
  <pageMargins left="0.75" right="0.75" top="1" bottom="1" header="0.5" footer="0.5"/>
  <pageSetup orientation="portrait" paperSize="9"/>
  <ignoredErrors>
    <ignoredError sqref="D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"/>
  <sheetViews>
    <sheetView zoomScale="89" zoomScaleNormal="89" workbookViewId="0" topLeftCell="A21">
      <selection activeCell="L49" sqref="L49"/>
    </sheetView>
  </sheetViews>
  <sheetFormatPr defaultColWidth="9.00390625" defaultRowHeight="12.75"/>
  <cols>
    <col min="1" max="1" width="11.25390625" style="1" bestFit="1" customWidth="1"/>
    <col min="2" max="2" width="11.875" style="1" bestFit="1" customWidth="1"/>
    <col min="3" max="3" width="12.00390625" style="1" customWidth="1"/>
    <col min="4" max="4" width="10.75390625" style="1" customWidth="1"/>
    <col min="5" max="9" width="9.125" style="1" customWidth="1"/>
    <col min="10" max="11" width="11.25390625" style="1" customWidth="1"/>
    <col min="12" max="12" width="14.87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875" style="1" customWidth="1"/>
    <col min="18" max="18" width="15.75390625" style="0" bestFit="1" customWidth="1"/>
  </cols>
  <sheetData>
    <row r="1" spans="3:19" ht="15.75">
      <c r="C1" s="118" t="s">
        <v>32</v>
      </c>
      <c r="D1" s="118"/>
      <c r="E1" s="118"/>
      <c r="F1" s="118"/>
      <c r="G1" s="118"/>
      <c r="H1" s="118"/>
      <c r="I1" s="118"/>
      <c r="J1" s="118"/>
      <c r="K1" s="3"/>
      <c r="M1" s="118" t="s">
        <v>37</v>
      </c>
      <c r="N1" s="118"/>
      <c r="Q1" s="2"/>
      <c r="R1" s="2"/>
      <c r="S1" s="2"/>
    </row>
    <row r="2" spans="2:16" ht="32.25" thickBot="1">
      <c r="B2" s="3" t="s">
        <v>30</v>
      </c>
      <c r="C2" s="13" t="s">
        <v>140</v>
      </c>
      <c r="D2" s="13" t="s">
        <v>63</v>
      </c>
      <c r="E2" s="13" t="s">
        <v>64</v>
      </c>
      <c r="F2" s="13" t="s">
        <v>65</v>
      </c>
      <c r="G2" s="13" t="s">
        <v>66</v>
      </c>
      <c r="H2" s="13" t="s">
        <v>120</v>
      </c>
      <c r="I2" s="13" t="s">
        <v>121</v>
      </c>
      <c r="J2" s="13" t="s">
        <v>170</v>
      </c>
      <c r="K2" s="113"/>
      <c r="L2" s="3" t="s">
        <v>39</v>
      </c>
      <c r="M2" s="3" t="s">
        <v>17</v>
      </c>
      <c r="N2" s="3" t="s">
        <v>38</v>
      </c>
      <c r="O2" s="3" t="s">
        <v>40</v>
      </c>
      <c r="P2" s="15" t="s">
        <v>143</v>
      </c>
    </row>
    <row r="3" spans="1:16" s="32" customFormat="1" ht="15.75">
      <c r="A3" s="26" t="s">
        <v>0</v>
      </c>
      <c r="B3" s="26" t="s">
        <v>15</v>
      </c>
      <c r="C3" s="58">
        <v>408</v>
      </c>
      <c r="D3" s="62">
        <v>395</v>
      </c>
      <c r="E3" s="66">
        <v>436</v>
      </c>
      <c r="F3" s="58"/>
      <c r="G3" s="66">
        <v>433</v>
      </c>
      <c r="H3" s="66">
        <v>430</v>
      </c>
      <c r="I3" s="58"/>
      <c r="J3" s="102">
        <v>429</v>
      </c>
      <c r="K3" s="61"/>
      <c r="L3" s="30">
        <f aca="true" t="shared" si="0" ref="L3:L17">SUM(C3:J3)</f>
        <v>2531</v>
      </c>
      <c r="M3" s="26">
        <v>5</v>
      </c>
      <c r="N3" s="26">
        <v>3</v>
      </c>
      <c r="O3" s="26">
        <f>2531-2504</f>
        <v>27</v>
      </c>
      <c r="P3" s="26">
        <v>2</v>
      </c>
    </row>
    <row r="4" spans="1:16" s="41" customFormat="1" ht="15.75">
      <c r="A4" s="36" t="s">
        <v>1</v>
      </c>
      <c r="B4" s="36" t="s">
        <v>23</v>
      </c>
      <c r="C4" s="64">
        <v>401</v>
      </c>
      <c r="D4" s="64">
        <v>397</v>
      </c>
      <c r="E4" s="72">
        <v>421</v>
      </c>
      <c r="F4" s="72">
        <v>415</v>
      </c>
      <c r="G4" s="59"/>
      <c r="H4" s="59">
        <v>396</v>
      </c>
      <c r="I4" s="59"/>
      <c r="J4" s="90">
        <v>436</v>
      </c>
      <c r="K4" s="81"/>
      <c r="L4" s="39">
        <f t="shared" si="0"/>
        <v>2466</v>
      </c>
      <c r="M4" s="36">
        <v>5</v>
      </c>
      <c r="N4" s="36">
        <v>3</v>
      </c>
      <c r="O4" s="36">
        <v>20</v>
      </c>
      <c r="P4" s="36">
        <v>2</v>
      </c>
    </row>
    <row r="5" spans="1:16" s="57" customFormat="1" ht="15.75">
      <c r="A5" s="1" t="s">
        <v>2</v>
      </c>
      <c r="B5" s="14" t="s">
        <v>24</v>
      </c>
      <c r="C5" s="60"/>
      <c r="D5" s="65"/>
      <c r="E5" s="65"/>
      <c r="F5" s="60"/>
      <c r="G5" s="60"/>
      <c r="H5" s="60"/>
      <c r="I5" s="60"/>
      <c r="J5" s="18"/>
      <c r="K5" s="73"/>
      <c r="L5" s="7">
        <f t="shared" si="0"/>
        <v>0</v>
      </c>
      <c r="M5" s="1"/>
      <c r="N5" s="1"/>
      <c r="O5" s="1"/>
      <c r="P5" s="1"/>
    </row>
    <row r="6" spans="1:16" s="32" customFormat="1" ht="15.75">
      <c r="A6" s="26" t="s">
        <v>3</v>
      </c>
      <c r="B6" s="26" t="s">
        <v>19</v>
      </c>
      <c r="C6" s="83">
        <v>463</v>
      </c>
      <c r="D6" s="66">
        <v>454</v>
      </c>
      <c r="E6" s="66">
        <v>452</v>
      </c>
      <c r="F6" s="61"/>
      <c r="G6" s="61">
        <v>418</v>
      </c>
      <c r="H6" s="83">
        <v>423</v>
      </c>
      <c r="I6" s="61">
        <v>382</v>
      </c>
      <c r="J6" s="49"/>
      <c r="K6" s="61"/>
      <c r="L6" s="30">
        <f t="shared" si="0"/>
        <v>2592</v>
      </c>
      <c r="M6" s="26">
        <v>6</v>
      </c>
      <c r="N6" s="26">
        <v>2</v>
      </c>
      <c r="O6" s="26">
        <v>195</v>
      </c>
      <c r="P6" s="26">
        <v>2</v>
      </c>
    </row>
    <row r="7" spans="1:16" s="41" customFormat="1" ht="15.75">
      <c r="A7" s="36" t="s">
        <v>4</v>
      </c>
      <c r="B7" s="36" t="s">
        <v>21</v>
      </c>
      <c r="C7" s="72">
        <v>429</v>
      </c>
      <c r="D7" s="64">
        <v>420</v>
      </c>
      <c r="E7" s="72">
        <v>456</v>
      </c>
      <c r="F7" s="59">
        <v>412</v>
      </c>
      <c r="G7" s="72">
        <v>441</v>
      </c>
      <c r="H7" s="59"/>
      <c r="I7" s="59"/>
      <c r="J7" s="90">
        <v>433</v>
      </c>
      <c r="K7" s="81"/>
      <c r="L7" s="39">
        <f t="shared" si="0"/>
        <v>2591</v>
      </c>
      <c r="M7" s="36">
        <v>6</v>
      </c>
      <c r="N7" s="36">
        <v>2</v>
      </c>
      <c r="O7" s="36">
        <v>158</v>
      </c>
      <c r="P7" s="36">
        <v>2</v>
      </c>
    </row>
    <row r="8" spans="1:16" s="32" customFormat="1" ht="15.75">
      <c r="A8" s="26" t="s">
        <v>5</v>
      </c>
      <c r="B8" s="26" t="s">
        <v>33</v>
      </c>
      <c r="C8" s="58">
        <v>432</v>
      </c>
      <c r="D8" s="66">
        <v>479</v>
      </c>
      <c r="E8" s="66">
        <v>439</v>
      </c>
      <c r="F8" s="58">
        <v>407</v>
      </c>
      <c r="G8" s="66">
        <v>441</v>
      </c>
      <c r="H8" s="58"/>
      <c r="I8" s="58"/>
      <c r="J8" s="88">
        <v>466</v>
      </c>
      <c r="K8" s="83"/>
      <c r="L8" s="30">
        <f t="shared" si="0"/>
        <v>2664</v>
      </c>
      <c r="M8" s="26">
        <v>6</v>
      </c>
      <c r="N8" s="26">
        <v>2</v>
      </c>
      <c r="O8" s="26">
        <v>259</v>
      </c>
      <c r="P8" s="26">
        <v>2</v>
      </c>
    </row>
    <row r="9" spans="1:16" s="41" customFormat="1" ht="15.75">
      <c r="A9" s="36" t="s">
        <v>6</v>
      </c>
      <c r="B9" s="36" t="s">
        <v>25</v>
      </c>
      <c r="C9" s="64"/>
      <c r="D9" s="72">
        <v>420</v>
      </c>
      <c r="E9" s="64">
        <v>408</v>
      </c>
      <c r="F9" s="72">
        <v>432</v>
      </c>
      <c r="G9" s="72">
        <v>472</v>
      </c>
      <c r="H9" s="59">
        <v>396</v>
      </c>
      <c r="I9" s="59"/>
      <c r="J9" s="90">
        <v>476</v>
      </c>
      <c r="K9" s="81"/>
      <c r="L9" s="39">
        <f t="shared" si="0"/>
        <v>2604</v>
      </c>
      <c r="M9" s="36">
        <v>6</v>
      </c>
      <c r="N9" s="36">
        <v>2</v>
      </c>
      <c r="O9" s="36">
        <v>181</v>
      </c>
      <c r="P9" s="36">
        <v>2</v>
      </c>
    </row>
    <row r="10" spans="1:16" s="32" customFormat="1" ht="15.75">
      <c r="A10" s="26" t="s">
        <v>7</v>
      </c>
      <c r="B10" s="26" t="s">
        <v>29</v>
      </c>
      <c r="C10" s="58">
        <v>401</v>
      </c>
      <c r="D10" s="62">
        <v>410</v>
      </c>
      <c r="E10" s="66">
        <v>466</v>
      </c>
      <c r="F10" s="58">
        <v>423</v>
      </c>
      <c r="G10" s="66">
        <v>450</v>
      </c>
      <c r="H10" s="66">
        <v>438</v>
      </c>
      <c r="I10" s="58"/>
      <c r="J10" s="49"/>
      <c r="K10" s="61"/>
      <c r="L10" s="30">
        <f t="shared" si="0"/>
        <v>2588</v>
      </c>
      <c r="M10" s="26">
        <v>5</v>
      </c>
      <c r="N10" s="26">
        <v>3</v>
      </c>
      <c r="O10" s="26">
        <v>56</v>
      </c>
      <c r="P10" s="26">
        <v>2</v>
      </c>
    </row>
    <row r="11" spans="1:16" s="41" customFormat="1" ht="15.75">
      <c r="A11" s="36" t="s">
        <v>8</v>
      </c>
      <c r="B11" s="36" t="s">
        <v>31</v>
      </c>
      <c r="C11" s="64">
        <v>409</v>
      </c>
      <c r="D11" s="72">
        <v>471</v>
      </c>
      <c r="E11" s="64"/>
      <c r="F11" s="59">
        <v>431</v>
      </c>
      <c r="G11" s="59">
        <v>423</v>
      </c>
      <c r="H11" s="59">
        <v>422</v>
      </c>
      <c r="I11" s="59"/>
      <c r="J11" s="90">
        <v>444</v>
      </c>
      <c r="K11" s="81"/>
      <c r="L11" s="39">
        <f t="shared" si="0"/>
        <v>2600</v>
      </c>
      <c r="M11" s="36">
        <v>2</v>
      </c>
      <c r="N11" s="36">
        <v>6</v>
      </c>
      <c r="O11" s="36">
        <v>-93</v>
      </c>
      <c r="P11" s="36">
        <v>0</v>
      </c>
    </row>
    <row r="12" spans="1:16" s="32" customFormat="1" ht="15.75">
      <c r="A12" s="26" t="s">
        <v>9</v>
      </c>
      <c r="B12" s="26" t="s">
        <v>18</v>
      </c>
      <c r="C12" s="62"/>
      <c r="D12" s="62">
        <v>417</v>
      </c>
      <c r="E12" s="66">
        <v>466</v>
      </c>
      <c r="F12" s="58">
        <v>400</v>
      </c>
      <c r="G12" s="66">
        <v>426</v>
      </c>
      <c r="H12" s="58">
        <v>416</v>
      </c>
      <c r="I12" s="58"/>
      <c r="J12" s="88">
        <v>451</v>
      </c>
      <c r="K12" s="83"/>
      <c r="L12" s="30">
        <f t="shared" si="0"/>
        <v>2576</v>
      </c>
      <c r="M12" s="26">
        <v>5</v>
      </c>
      <c r="N12" s="26">
        <v>3</v>
      </c>
      <c r="O12" s="26">
        <v>66</v>
      </c>
      <c r="P12" s="26">
        <v>2</v>
      </c>
    </row>
    <row r="13" spans="1:16" s="41" customFormat="1" ht="15.75">
      <c r="A13" s="36" t="s">
        <v>10</v>
      </c>
      <c r="B13" s="36" t="s">
        <v>26</v>
      </c>
      <c r="C13" s="64">
        <v>364</v>
      </c>
      <c r="D13" s="72">
        <v>434</v>
      </c>
      <c r="E13" s="72">
        <v>433</v>
      </c>
      <c r="F13" s="59"/>
      <c r="G13" s="72">
        <v>440</v>
      </c>
      <c r="H13" s="59">
        <v>423</v>
      </c>
      <c r="I13" s="59"/>
      <c r="J13" s="54">
        <v>397</v>
      </c>
      <c r="K13" s="68"/>
      <c r="L13" s="39">
        <f t="shared" si="0"/>
        <v>2491</v>
      </c>
      <c r="M13" s="36">
        <v>3</v>
      </c>
      <c r="N13" s="36">
        <v>5</v>
      </c>
      <c r="O13" s="36">
        <v>-101</v>
      </c>
      <c r="P13" s="36">
        <v>0</v>
      </c>
    </row>
    <row r="14" spans="1:16" s="32" customFormat="1" ht="15.75">
      <c r="A14" s="26" t="s">
        <v>11</v>
      </c>
      <c r="B14" s="26" t="s">
        <v>27</v>
      </c>
      <c r="C14" s="58">
        <v>418</v>
      </c>
      <c r="D14" s="62">
        <v>407</v>
      </c>
      <c r="E14" s="66">
        <v>451</v>
      </c>
      <c r="F14" s="66">
        <v>429</v>
      </c>
      <c r="G14" s="58">
        <v>385</v>
      </c>
      <c r="H14" s="58">
        <v>400</v>
      </c>
      <c r="I14" s="58"/>
      <c r="J14" s="49"/>
      <c r="K14" s="61"/>
      <c r="L14" s="30">
        <f t="shared" si="0"/>
        <v>2490</v>
      </c>
      <c r="M14" s="26">
        <v>2</v>
      </c>
      <c r="N14" s="26">
        <v>6</v>
      </c>
      <c r="O14" s="30">
        <f>L14-2511</f>
        <v>-21</v>
      </c>
      <c r="P14" s="26">
        <v>0</v>
      </c>
    </row>
    <row r="15" spans="1:16" s="41" customFormat="1" ht="15.75">
      <c r="A15" s="36" t="s">
        <v>12</v>
      </c>
      <c r="B15" s="36" t="s">
        <v>20</v>
      </c>
      <c r="C15" s="64">
        <v>397</v>
      </c>
      <c r="D15" s="72">
        <v>443</v>
      </c>
      <c r="E15" s="64">
        <v>419</v>
      </c>
      <c r="F15" s="72">
        <v>423</v>
      </c>
      <c r="G15" s="72">
        <v>436</v>
      </c>
      <c r="H15" s="59">
        <v>385</v>
      </c>
      <c r="I15" s="59"/>
      <c r="J15" s="54"/>
      <c r="K15" s="68"/>
      <c r="L15" s="39">
        <f t="shared" si="0"/>
        <v>2503</v>
      </c>
      <c r="M15" s="36">
        <v>3</v>
      </c>
      <c r="N15" s="36">
        <v>5</v>
      </c>
      <c r="O15" s="36">
        <v>-72</v>
      </c>
      <c r="P15" s="36">
        <v>0</v>
      </c>
    </row>
    <row r="16" spans="1:16" s="32" customFormat="1" ht="15.75">
      <c r="A16" s="26" t="s">
        <v>13</v>
      </c>
      <c r="B16" s="26" t="s">
        <v>28</v>
      </c>
      <c r="C16" s="58">
        <v>386</v>
      </c>
      <c r="D16" s="66">
        <v>445</v>
      </c>
      <c r="E16" s="66">
        <v>429</v>
      </c>
      <c r="F16" s="58">
        <v>413</v>
      </c>
      <c r="G16" s="66">
        <v>431</v>
      </c>
      <c r="H16" s="58">
        <v>415</v>
      </c>
      <c r="I16" s="58"/>
      <c r="J16" s="49"/>
      <c r="K16" s="61"/>
      <c r="L16" s="30">
        <f t="shared" si="0"/>
        <v>2519</v>
      </c>
      <c r="M16" s="26">
        <v>3</v>
      </c>
      <c r="N16" s="26">
        <v>5</v>
      </c>
      <c r="O16" s="26">
        <v>-47</v>
      </c>
      <c r="P16" s="26">
        <v>0</v>
      </c>
    </row>
    <row r="17" spans="1:16" s="41" customFormat="1" ht="16.5" thickBot="1">
      <c r="A17" s="36" t="s">
        <v>14</v>
      </c>
      <c r="B17" s="36" t="s">
        <v>16</v>
      </c>
      <c r="C17" s="63">
        <v>400</v>
      </c>
      <c r="D17" s="63">
        <v>410</v>
      </c>
      <c r="E17" s="97">
        <v>428</v>
      </c>
      <c r="F17" s="63">
        <v>386</v>
      </c>
      <c r="G17" s="97">
        <v>419</v>
      </c>
      <c r="H17" s="97">
        <v>437</v>
      </c>
      <c r="I17" s="63"/>
      <c r="J17" s="51"/>
      <c r="K17" s="63"/>
      <c r="L17" s="56">
        <f t="shared" si="0"/>
        <v>2480</v>
      </c>
      <c r="M17" s="53">
        <v>3</v>
      </c>
      <c r="N17" s="53">
        <v>5</v>
      </c>
      <c r="O17" s="53">
        <v>-103</v>
      </c>
      <c r="P17" s="53">
        <v>0</v>
      </c>
    </row>
    <row r="18" spans="3:11" ht="16.5" thickTop="1">
      <c r="C18" s="7">
        <f>SUM(C3:C17)</f>
        <v>4908</v>
      </c>
      <c r="D18" s="7">
        <f>SUM(D3:D17)</f>
        <v>6002</v>
      </c>
      <c r="E18" s="7">
        <f aca="true" t="shared" si="1" ref="E18:J18">SUM(E3:E17)</f>
        <v>5704</v>
      </c>
      <c r="F18" s="7">
        <f t="shared" si="1"/>
        <v>4571</v>
      </c>
      <c r="G18" s="7">
        <f t="shared" si="1"/>
        <v>5615</v>
      </c>
      <c r="H18" s="7">
        <f t="shared" si="1"/>
        <v>4981</v>
      </c>
      <c r="I18" s="7">
        <f t="shared" si="1"/>
        <v>382</v>
      </c>
      <c r="J18" s="7">
        <f t="shared" si="1"/>
        <v>3532</v>
      </c>
      <c r="K18" s="7"/>
    </row>
    <row r="19" spans="2:18" ht="33" customHeight="1">
      <c r="B19" s="16" t="s">
        <v>163</v>
      </c>
      <c r="C19" s="22">
        <f>C18/12</f>
        <v>409</v>
      </c>
      <c r="D19" s="22">
        <f>D18/14</f>
        <v>428.7142857142857</v>
      </c>
      <c r="E19" s="22">
        <f>E18/13</f>
        <v>438.7692307692308</v>
      </c>
      <c r="F19" s="22">
        <f>F18/11</f>
        <v>415.54545454545456</v>
      </c>
      <c r="G19" s="22">
        <f>G18/13</f>
        <v>431.9230769230769</v>
      </c>
      <c r="H19" s="22">
        <f>H18/12</f>
        <v>415.0833333333333</v>
      </c>
      <c r="I19" s="22">
        <f>I18/1</f>
        <v>382</v>
      </c>
      <c r="J19" s="22">
        <f>J18/8</f>
        <v>441.5</v>
      </c>
      <c r="K19" s="22"/>
      <c r="L19" s="3" t="s">
        <v>39</v>
      </c>
      <c r="M19" s="118" t="s">
        <v>144</v>
      </c>
      <c r="N19" s="118"/>
      <c r="O19" s="3" t="s">
        <v>40</v>
      </c>
      <c r="P19" s="15" t="s">
        <v>145</v>
      </c>
      <c r="R19" s="19" t="s">
        <v>159</v>
      </c>
    </row>
    <row r="20" spans="12:18" ht="15.75">
      <c r="L20" s="7">
        <f>SUM(L3:L17)</f>
        <v>35695</v>
      </c>
      <c r="M20" s="1">
        <f>SUM(M3:M17)</f>
        <v>60</v>
      </c>
      <c r="N20" s="1">
        <f>SUM(N3:N17)</f>
        <v>52</v>
      </c>
      <c r="O20" s="1">
        <f>SUM(O3:O17)</f>
        <v>525</v>
      </c>
      <c r="P20" s="1">
        <f>SUM(P3:P17)</f>
        <v>16</v>
      </c>
      <c r="R20" s="2">
        <f>M20-N20</f>
        <v>8</v>
      </c>
    </row>
    <row r="21" spans="3:4" ht="15.75">
      <c r="C21" s="119" t="s">
        <v>52</v>
      </c>
      <c r="D21" s="119"/>
    </row>
    <row r="22" spans="3:13" ht="15.75">
      <c r="C22" s="116" t="s">
        <v>168</v>
      </c>
      <c r="D22" s="116"/>
      <c r="L22" s="1" t="s">
        <v>164</v>
      </c>
      <c r="M22" s="24">
        <f>L20/14</f>
        <v>2549.6428571428573</v>
      </c>
    </row>
    <row r="23" spans="3:4" ht="15.75">
      <c r="C23" s="117" t="s">
        <v>169</v>
      </c>
      <c r="D23" s="117"/>
    </row>
    <row r="24" spans="9:14" ht="15.75">
      <c r="I24" s="115" t="s">
        <v>199</v>
      </c>
      <c r="J24" s="115"/>
      <c r="L24" s="1" t="s">
        <v>200</v>
      </c>
      <c r="M24" s="122" t="s">
        <v>159</v>
      </c>
      <c r="N24" s="122"/>
    </row>
    <row r="25" spans="2:14" ht="15.75">
      <c r="B25" s="92" t="s">
        <v>183</v>
      </c>
      <c r="C25" s="86"/>
      <c r="D25" s="73" t="s">
        <v>187</v>
      </c>
      <c r="E25" s="86" t="s">
        <v>181</v>
      </c>
      <c r="F25" s="93" t="s">
        <v>182</v>
      </c>
      <c r="I25" s="1">
        <f>M20+M45</f>
        <v>119</v>
      </c>
      <c r="J25" s="1">
        <f>N20+N45</f>
        <v>105</v>
      </c>
      <c r="L25" s="1">
        <f>P20+P45</f>
        <v>31</v>
      </c>
      <c r="M25" s="115">
        <f>I25-J25</f>
        <v>14</v>
      </c>
      <c r="N25" s="115"/>
    </row>
    <row r="26" spans="2:6" ht="15.75">
      <c r="B26" s="92"/>
      <c r="C26" s="86"/>
      <c r="D26" s="73"/>
      <c r="E26" s="86"/>
      <c r="F26" s="93"/>
    </row>
    <row r="29" spans="2:16" ht="32.25" thickBot="1">
      <c r="B29" s="3" t="s">
        <v>30</v>
      </c>
      <c r="C29" s="13" t="s">
        <v>140</v>
      </c>
      <c r="D29" s="13" t="s">
        <v>63</v>
      </c>
      <c r="E29" s="13" t="s">
        <v>64</v>
      </c>
      <c r="F29" s="13" t="s">
        <v>65</v>
      </c>
      <c r="G29" s="13" t="s">
        <v>66</v>
      </c>
      <c r="H29" s="13" t="s">
        <v>120</v>
      </c>
      <c r="I29" s="13" t="s">
        <v>121</v>
      </c>
      <c r="J29" s="13" t="s">
        <v>170</v>
      </c>
      <c r="K29" s="113" t="s">
        <v>221</v>
      </c>
      <c r="L29" s="3" t="s">
        <v>39</v>
      </c>
      <c r="M29" s="3" t="s">
        <v>17</v>
      </c>
      <c r="N29" s="3" t="s">
        <v>38</v>
      </c>
      <c r="O29" s="3" t="s">
        <v>40</v>
      </c>
      <c r="P29" s="15" t="s">
        <v>143</v>
      </c>
    </row>
    <row r="30" spans="1:16" s="41" customFormat="1" ht="15.75">
      <c r="A30" s="36" t="s">
        <v>198</v>
      </c>
      <c r="B30" s="36" t="s">
        <v>29</v>
      </c>
      <c r="C30" s="36">
        <v>416</v>
      </c>
      <c r="D30" s="36">
        <v>414</v>
      </c>
      <c r="E30" s="67">
        <v>455</v>
      </c>
      <c r="F30" s="36">
        <v>385</v>
      </c>
      <c r="G30" s="36">
        <v>412</v>
      </c>
      <c r="H30" s="67">
        <v>432</v>
      </c>
      <c r="I30" s="36"/>
      <c r="J30" s="36"/>
      <c r="K30" s="36"/>
      <c r="L30" s="36">
        <f>SUM(C30:J30)</f>
        <v>2514</v>
      </c>
      <c r="M30" s="36">
        <v>2</v>
      </c>
      <c r="N30" s="36">
        <v>6</v>
      </c>
      <c r="O30" s="36">
        <v>-80</v>
      </c>
      <c r="P30" s="36">
        <v>0</v>
      </c>
    </row>
    <row r="31" spans="1:16" s="32" customFormat="1" ht="15.75">
      <c r="A31" s="26" t="s">
        <v>202</v>
      </c>
      <c r="B31" s="26" t="s">
        <v>25</v>
      </c>
      <c r="C31" s="26">
        <v>400</v>
      </c>
      <c r="D31" s="26">
        <v>395</v>
      </c>
      <c r="E31" s="26">
        <v>390</v>
      </c>
      <c r="F31" s="87">
        <v>478</v>
      </c>
      <c r="G31" s="87">
        <v>447</v>
      </c>
      <c r="H31" s="87">
        <v>406</v>
      </c>
      <c r="I31" s="26"/>
      <c r="J31" s="26"/>
      <c r="K31" s="26"/>
      <c r="L31" s="26">
        <f>SUM(C31:J31)</f>
        <v>2516</v>
      </c>
      <c r="M31" s="26">
        <v>5</v>
      </c>
      <c r="N31" s="26">
        <v>3</v>
      </c>
      <c r="O31" s="26">
        <f>L31-2457</f>
        <v>59</v>
      </c>
      <c r="P31" s="26">
        <v>2</v>
      </c>
    </row>
    <row r="32" spans="1:16" s="41" customFormat="1" ht="15.75">
      <c r="A32" s="36" t="s">
        <v>204</v>
      </c>
      <c r="B32" s="36" t="s">
        <v>33</v>
      </c>
      <c r="C32" s="67">
        <v>431</v>
      </c>
      <c r="D32" s="36">
        <v>420</v>
      </c>
      <c r="E32" s="67">
        <v>432</v>
      </c>
      <c r="F32" s="67">
        <v>426</v>
      </c>
      <c r="G32" s="36">
        <v>405</v>
      </c>
      <c r="H32" s="36">
        <v>418</v>
      </c>
      <c r="I32" s="36"/>
      <c r="J32" s="36"/>
      <c r="K32" s="36"/>
      <c r="L32" s="36">
        <f>SUM(C32:J32)</f>
        <v>2532</v>
      </c>
      <c r="M32" s="36">
        <v>5</v>
      </c>
      <c r="N32" s="36">
        <v>3</v>
      </c>
      <c r="O32" s="36">
        <v>61</v>
      </c>
      <c r="P32" s="36">
        <v>2</v>
      </c>
    </row>
    <row r="33" spans="1:16" s="32" customFormat="1" ht="15.75">
      <c r="A33" s="26" t="s">
        <v>205</v>
      </c>
      <c r="B33" s="26" t="s">
        <v>21</v>
      </c>
      <c r="C33" s="45">
        <v>412</v>
      </c>
      <c r="D33" s="26"/>
      <c r="E33" s="87">
        <v>451</v>
      </c>
      <c r="F33" s="87">
        <v>430</v>
      </c>
      <c r="G33" s="87">
        <v>456</v>
      </c>
      <c r="H33" s="87">
        <v>426</v>
      </c>
      <c r="I33" s="26"/>
      <c r="J33" s="87">
        <v>421</v>
      </c>
      <c r="K33" s="87"/>
      <c r="L33" s="26">
        <f>SUM(C33:J33)</f>
        <v>2596</v>
      </c>
      <c r="M33" s="26">
        <v>7</v>
      </c>
      <c r="N33" s="26">
        <v>1</v>
      </c>
      <c r="O33" s="26">
        <f>L33-2233</f>
        <v>363</v>
      </c>
      <c r="P33" s="26">
        <v>2</v>
      </c>
    </row>
    <row r="34" spans="1:16" s="41" customFormat="1" ht="15.75">
      <c r="A34" s="36" t="s">
        <v>207</v>
      </c>
      <c r="B34" s="36" t="s">
        <v>19</v>
      </c>
      <c r="C34" s="36">
        <v>390</v>
      </c>
      <c r="D34" s="67">
        <v>447</v>
      </c>
      <c r="E34" s="67">
        <v>414</v>
      </c>
      <c r="F34" s="36"/>
      <c r="G34" s="67">
        <v>425</v>
      </c>
      <c r="H34" s="67">
        <v>404</v>
      </c>
      <c r="I34" s="36"/>
      <c r="J34" s="67">
        <v>471</v>
      </c>
      <c r="K34" s="67"/>
      <c r="L34" s="36">
        <f>SUM(C34:J34)</f>
        <v>2551</v>
      </c>
      <c r="M34" s="36">
        <v>7</v>
      </c>
      <c r="N34" s="36">
        <v>1</v>
      </c>
      <c r="O34" s="36">
        <f>L34-2340</f>
        <v>211</v>
      </c>
      <c r="P34" s="36">
        <v>2</v>
      </c>
    </row>
    <row r="35" spans="1:16" s="104" customFormat="1" ht="15.75">
      <c r="A35" s="103" t="s">
        <v>208</v>
      </c>
      <c r="B35" s="103" t="s">
        <v>24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>
        <f aca="true" t="shared" si="2" ref="L35:L44">SUM(C35:J35)</f>
        <v>0</v>
      </c>
      <c r="M35" s="103"/>
      <c r="N35" s="103"/>
      <c r="O35" s="103"/>
      <c r="P35" s="103"/>
    </row>
    <row r="36" spans="1:16" s="32" customFormat="1" ht="15.75">
      <c r="A36" s="26" t="s">
        <v>209</v>
      </c>
      <c r="B36" s="26" t="s">
        <v>23</v>
      </c>
      <c r="C36" s="26">
        <v>394</v>
      </c>
      <c r="D36" s="87">
        <v>426</v>
      </c>
      <c r="E36" s="87">
        <v>471</v>
      </c>
      <c r="F36" s="26">
        <v>381</v>
      </c>
      <c r="G36" s="87">
        <v>429</v>
      </c>
      <c r="H36" s="26">
        <v>404</v>
      </c>
      <c r="I36" s="26"/>
      <c r="J36" s="26"/>
      <c r="K36" s="26"/>
      <c r="L36" s="26">
        <f t="shared" si="2"/>
        <v>2505</v>
      </c>
      <c r="M36" s="26">
        <v>5</v>
      </c>
      <c r="N36" s="26">
        <v>3</v>
      </c>
      <c r="O36" s="26">
        <v>27</v>
      </c>
      <c r="P36" s="26">
        <v>2</v>
      </c>
    </row>
    <row r="37" spans="1:16" s="41" customFormat="1" ht="15.75">
      <c r="A37" s="36" t="s">
        <v>210</v>
      </c>
      <c r="B37" s="36" t="s">
        <v>15</v>
      </c>
      <c r="C37" s="36">
        <v>374</v>
      </c>
      <c r="D37" s="67">
        <v>440</v>
      </c>
      <c r="E37" s="67">
        <v>424</v>
      </c>
      <c r="F37" s="36">
        <v>398</v>
      </c>
      <c r="G37" s="36"/>
      <c r="H37" s="36">
        <v>405</v>
      </c>
      <c r="I37" s="36"/>
      <c r="J37" s="67">
        <v>419</v>
      </c>
      <c r="K37" s="67"/>
      <c r="L37" s="36">
        <f t="shared" si="2"/>
        <v>2460</v>
      </c>
      <c r="M37" s="36">
        <v>3</v>
      </c>
      <c r="N37" s="36">
        <v>5</v>
      </c>
      <c r="O37" s="36">
        <f>L37-2577</f>
        <v>-117</v>
      </c>
      <c r="P37" s="36">
        <v>0</v>
      </c>
    </row>
    <row r="38" spans="1:16" s="32" customFormat="1" ht="15.75">
      <c r="A38" s="26" t="s">
        <v>211</v>
      </c>
      <c r="B38" s="26" t="s">
        <v>16</v>
      </c>
      <c r="C38" s="87">
        <v>422</v>
      </c>
      <c r="D38" s="87">
        <v>452</v>
      </c>
      <c r="E38" s="87">
        <v>432</v>
      </c>
      <c r="F38" s="87">
        <v>438</v>
      </c>
      <c r="G38" s="26"/>
      <c r="H38" s="26">
        <v>410</v>
      </c>
      <c r="I38" s="26"/>
      <c r="J38" s="26">
        <v>410</v>
      </c>
      <c r="K38" s="26"/>
      <c r="L38" s="26">
        <f t="shared" si="2"/>
        <v>2564</v>
      </c>
      <c r="M38" s="26">
        <v>6</v>
      </c>
      <c r="N38" s="26">
        <v>2</v>
      </c>
      <c r="O38" s="26">
        <v>59</v>
      </c>
      <c r="P38" s="26">
        <v>2</v>
      </c>
    </row>
    <row r="39" spans="1:16" s="41" customFormat="1" ht="15.75">
      <c r="A39" s="36" t="s">
        <v>212</v>
      </c>
      <c r="B39" s="36" t="s">
        <v>28</v>
      </c>
      <c r="C39" s="36">
        <v>362</v>
      </c>
      <c r="D39" s="36">
        <v>418</v>
      </c>
      <c r="E39" s="67">
        <v>433</v>
      </c>
      <c r="F39" s="36"/>
      <c r="G39" s="36">
        <v>425</v>
      </c>
      <c r="H39" s="36">
        <v>413</v>
      </c>
      <c r="I39" s="36"/>
      <c r="J39" s="67">
        <v>440</v>
      </c>
      <c r="K39" s="67"/>
      <c r="L39" s="36">
        <f t="shared" si="2"/>
        <v>2491</v>
      </c>
      <c r="M39" s="36">
        <v>2</v>
      </c>
      <c r="N39" s="36">
        <v>6</v>
      </c>
      <c r="O39" s="36">
        <f>L39-2635</f>
        <v>-144</v>
      </c>
      <c r="P39" s="36">
        <v>0</v>
      </c>
    </row>
    <row r="40" spans="1:16" s="32" customFormat="1" ht="15.75">
      <c r="A40" s="26" t="s">
        <v>213</v>
      </c>
      <c r="B40" s="26" t="s">
        <v>20</v>
      </c>
      <c r="C40" s="26">
        <v>368</v>
      </c>
      <c r="D40" s="87">
        <v>424</v>
      </c>
      <c r="E40" s="87">
        <v>419</v>
      </c>
      <c r="F40" s="87">
        <v>448</v>
      </c>
      <c r="G40" s="26"/>
      <c r="H40" s="26">
        <v>408</v>
      </c>
      <c r="I40" s="26"/>
      <c r="J40" s="87">
        <v>432</v>
      </c>
      <c r="K40" s="87"/>
      <c r="L40" s="26">
        <f t="shared" si="2"/>
        <v>2499</v>
      </c>
      <c r="M40" s="26">
        <v>4</v>
      </c>
      <c r="N40" s="26">
        <v>4</v>
      </c>
      <c r="O40" s="26">
        <v>-56</v>
      </c>
      <c r="P40" s="26">
        <v>1</v>
      </c>
    </row>
    <row r="41" spans="1:16" s="41" customFormat="1" ht="15.75">
      <c r="A41" s="36" t="s">
        <v>214</v>
      </c>
      <c r="B41" s="36" t="s">
        <v>27</v>
      </c>
      <c r="C41" s="36"/>
      <c r="D41" s="36">
        <v>430</v>
      </c>
      <c r="E41" s="67">
        <v>442</v>
      </c>
      <c r="F41" s="36">
        <v>414</v>
      </c>
      <c r="G41" s="67">
        <v>442</v>
      </c>
      <c r="H41" s="36">
        <v>417</v>
      </c>
      <c r="I41" s="36"/>
      <c r="J41" s="67">
        <v>431</v>
      </c>
      <c r="K41" s="67"/>
      <c r="L41" s="36">
        <f t="shared" si="2"/>
        <v>2576</v>
      </c>
      <c r="M41" s="36">
        <v>3</v>
      </c>
      <c r="N41" s="36">
        <v>5</v>
      </c>
      <c r="O41" s="36">
        <v>-32</v>
      </c>
      <c r="P41" s="36">
        <v>0</v>
      </c>
    </row>
    <row r="42" spans="1:16" s="32" customFormat="1" ht="15.75">
      <c r="A42" s="26" t="s">
        <v>215</v>
      </c>
      <c r="B42" s="26" t="s">
        <v>26</v>
      </c>
      <c r="C42" s="26"/>
      <c r="D42" s="26">
        <v>401</v>
      </c>
      <c r="E42" s="87">
        <v>435</v>
      </c>
      <c r="F42" s="26">
        <v>366</v>
      </c>
      <c r="G42" s="26"/>
      <c r="H42" s="26">
        <v>382</v>
      </c>
      <c r="I42" s="26">
        <v>333</v>
      </c>
      <c r="J42" s="87">
        <v>416</v>
      </c>
      <c r="K42" s="87"/>
      <c r="L42" s="26">
        <f t="shared" si="2"/>
        <v>2333</v>
      </c>
      <c r="M42" s="26">
        <v>2</v>
      </c>
      <c r="N42" s="26">
        <v>6</v>
      </c>
      <c r="O42" s="26">
        <v>-142</v>
      </c>
      <c r="P42" s="26">
        <v>0</v>
      </c>
    </row>
    <row r="43" spans="1:16" s="41" customFormat="1" ht="15.75">
      <c r="A43" s="36" t="s">
        <v>216</v>
      </c>
      <c r="B43" s="36" t="s">
        <v>18</v>
      </c>
      <c r="C43" s="36"/>
      <c r="D43" s="67">
        <v>420</v>
      </c>
      <c r="E43" s="67">
        <v>444</v>
      </c>
      <c r="F43" s="36">
        <v>409</v>
      </c>
      <c r="G43" s="67">
        <v>420</v>
      </c>
      <c r="H43" s="36">
        <v>420</v>
      </c>
      <c r="I43" s="36"/>
      <c r="J43" s="36"/>
      <c r="K43" s="36">
        <v>389</v>
      </c>
      <c r="L43" s="36">
        <f>SUM(C43:K43)</f>
        <v>2502</v>
      </c>
      <c r="M43" s="36">
        <v>5</v>
      </c>
      <c r="N43" s="36">
        <v>3</v>
      </c>
      <c r="O43" s="36">
        <v>41</v>
      </c>
      <c r="P43" s="36">
        <v>2</v>
      </c>
    </row>
    <row r="44" spans="1:16" s="32" customFormat="1" ht="16.5" thickBot="1">
      <c r="A44" s="26" t="s">
        <v>217</v>
      </c>
      <c r="B44" s="26" t="s">
        <v>31</v>
      </c>
      <c r="C44" s="26"/>
      <c r="D44" s="26">
        <v>398</v>
      </c>
      <c r="E44" s="87">
        <v>454</v>
      </c>
      <c r="F44" s="87">
        <v>435</v>
      </c>
      <c r="G44" s="87">
        <v>453</v>
      </c>
      <c r="H44" s="26">
        <v>424</v>
      </c>
      <c r="I44" s="26">
        <v>388</v>
      </c>
      <c r="J44" s="26"/>
      <c r="K44" s="26"/>
      <c r="L44" s="26">
        <f t="shared" si="2"/>
        <v>2552</v>
      </c>
      <c r="M44" s="35">
        <v>3</v>
      </c>
      <c r="N44" s="35">
        <v>5</v>
      </c>
      <c r="O44" s="35">
        <v>-10</v>
      </c>
      <c r="P44" s="35">
        <v>0</v>
      </c>
    </row>
    <row r="45" spans="13:16" ht="16.5" thickTop="1">
      <c r="M45" s="1">
        <f>SUM(M30:M44)</f>
        <v>59</v>
      </c>
      <c r="N45" s="1">
        <f>SUM(N30:N44)</f>
        <v>53</v>
      </c>
      <c r="O45" s="1">
        <f>SUM(O30:O44)</f>
        <v>240</v>
      </c>
      <c r="P45" s="14">
        <f>SUM(P30:P44)</f>
        <v>15</v>
      </c>
    </row>
  </sheetData>
  <mergeCells count="9">
    <mergeCell ref="M25:N25"/>
    <mergeCell ref="I24:J24"/>
    <mergeCell ref="C22:D22"/>
    <mergeCell ref="C23:D23"/>
    <mergeCell ref="M24:N24"/>
    <mergeCell ref="C1:J1"/>
    <mergeCell ref="M1:N1"/>
    <mergeCell ref="C21:D21"/>
    <mergeCell ref="M19:N19"/>
  </mergeCells>
  <printOptions/>
  <pageMargins left="0.75" right="0.75" top="1" bottom="1" header="0.5" footer="0.5"/>
  <pageSetup orientation="portrait" paperSize="9"/>
  <ignoredErrors>
    <ignoredError sqref="I19 D19 F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zoomScale="89" zoomScaleNormal="89" workbookViewId="0" topLeftCell="B20">
      <selection activeCell="J47" sqref="J47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1.25390625" style="1" customWidth="1"/>
    <col min="10" max="10" width="11.375" style="1" customWidth="1"/>
    <col min="11" max="11" width="10.75390625" style="1" customWidth="1"/>
    <col min="12" max="12" width="15.87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2.125" style="1" customWidth="1"/>
    <col min="18" max="18" width="15.75390625" style="0" bestFit="1" customWidth="1"/>
  </cols>
  <sheetData>
    <row r="1" spans="3:19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M1" s="118" t="s">
        <v>37</v>
      </c>
      <c r="N1" s="118"/>
      <c r="Q1" s="2"/>
      <c r="R1" s="2"/>
      <c r="S1" s="2"/>
    </row>
    <row r="2" spans="2:16" ht="34.5" customHeight="1" thickBot="1">
      <c r="B2" s="3" t="s">
        <v>30</v>
      </c>
      <c r="C2" s="13" t="s">
        <v>78</v>
      </c>
      <c r="D2" s="13" t="s">
        <v>77</v>
      </c>
      <c r="E2" s="13" t="s">
        <v>76</v>
      </c>
      <c r="F2" s="13" t="s">
        <v>75</v>
      </c>
      <c r="G2" s="13" t="s">
        <v>74</v>
      </c>
      <c r="H2" s="13" t="s">
        <v>73</v>
      </c>
      <c r="I2" s="13" t="s">
        <v>138</v>
      </c>
      <c r="J2" s="13" t="s">
        <v>156</v>
      </c>
      <c r="K2" s="13" t="s">
        <v>131</v>
      </c>
      <c r="L2" s="3" t="s">
        <v>39</v>
      </c>
      <c r="M2" s="3" t="s">
        <v>21</v>
      </c>
      <c r="N2" s="3" t="s">
        <v>38</v>
      </c>
      <c r="O2" s="3" t="s">
        <v>40</v>
      </c>
      <c r="P2" s="15" t="s">
        <v>143</v>
      </c>
    </row>
    <row r="3" spans="1:16" s="32" customFormat="1" ht="15.75">
      <c r="A3" s="26" t="s">
        <v>0</v>
      </c>
      <c r="B3" s="26" t="s">
        <v>20</v>
      </c>
      <c r="C3" s="66">
        <v>435</v>
      </c>
      <c r="D3" s="66">
        <v>424</v>
      </c>
      <c r="E3" s="62"/>
      <c r="F3" s="58"/>
      <c r="G3" s="58">
        <v>372</v>
      </c>
      <c r="H3" s="66">
        <v>421</v>
      </c>
      <c r="I3" s="58">
        <v>365</v>
      </c>
      <c r="J3" s="58">
        <v>367</v>
      </c>
      <c r="K3" s="49"/>
      <c r="L3" s="30">
        <f>SUM(C3:K3)</f>
        <v>2384</v>
      </c>
      <c r="M3" s="26">
        <v>3</v>
      </c>
      <c r="N3" s="26">
        <v>5</v>
      </c>
      <c r="O3" s="26">
        <v>-153</v>
      </c>
      <c r="P3" s="26">
        <v>0</v>
      </c>
    </row>
    <row r="4" spans="1:16" s="41" customFormat="1" ht="15.75">
      <c r="A4" s="36" t="s">
        <v>1</v>
      </c>
      <c r="B4" s="36" t="s">
        <v>28</v>
      </c>
      <c r="C4" s="64">
        <v>415</v>
      </c>
      <c r="D4" s="72">
        <v>435</v>
      </c>
      <c r="E4" s="64">
        <v>380</v>
      </c>
      <c r="F4" s="59"/>
      <c r="G4" s="59">
        <v>404</v>
      </c>
      <c r="H4" s="59"/>
      <c r="I4" s="59">
        <v>314</v>
      </c>
      <c r="J4" s="59">
        <v>373</v>
      </c>
      <c r="K4" s="54"/>
      <c r="L4" s="39">
        <f aca="true" t="shared" si="0" ref="L4:L16">SUM(C4:K4)</f>
        <v>2321</v>
      </c>
      <c r="M4" s="36">
        <v>1</v>
      </c>
      <c r="N4" s="36">
        <v>7</v>
      </c>
      <c r="O4" s="36">
        <v>-269</v>
      </c>
      <c r="P4" s="36">
        <v>0</v>
      </c>
    </row>
    <row r="5" spans="1:16" s="32" customFormat="1" ht="15.75">
      <c r="A5" s="26" t="s">
        <v>2</v>
      </c>
      <c r="B5" s="26" t="s">
        <v>16</v>
      </c>
      <c r="C5" s="66">
        <v>421</v>
      </c>
      <c r="D5" s="62"/>
      <c r="E5" s="62">
        <v>176</v>
      </c>
      <c r="F5" s="58">
        <v>389</v>
      </c>
      <c r="G5" s="58">
        <v>376</v>
      </c>
      <c r="H5" s="58">
        <v>368</v>
      </c>
      <c r="I5" s="58"/>
      <c r="J5" s="58">
        <v>372</v>
      </c>
      <c r="K5" s="49">
        <v>202</v>
      </c>
      <c r="L5" s="30">
        <f t="shared" si="0"/>
        <v>2304</v>
      </c>
      <c r="M5" s="26">
        <v>1</v>
      </c>
      <c r="N5" s="26">
        <v>7</v>
      </c>
      <c r="O5" s="26">
        <v>-218</v>
      </c>
      <c r="P5" s="26">
        <v>0</v>
      </c>
    </row>
    <row r="6" spans="1:16" s="41" customFormat="1" ht="15.75">
      <c r="A6" s="36" t="s">
        <v>3</v>
      </c>
      <c r="B6" s="36" t="s">
        <v>15</v>
      </c>
      <c r="C6" s="72">
        <v>438</v>
      </c>
      <c r="D6" s="64"/>
      <c r="E6" s="64"/>
      <c r="F6" s="72">
        <v>419</v>
      </c>
      <c r="G6" s="59">
        <v>367</v>
      </c>
      <c r="H6" s="59">
        <v>371</v>
      </c>
      <c r="I6" s="59"/>
      <c r="J6" s="59">
        <v>404</v>
      </c>
      <c r="K6" s="54">
        <v>401</v>
      </c>
      <c r="L6" s="39">
        <f t="shared" si="0"/>
        <v>2400</v>
      </c>
      <c r="M6" s="36">
        <v>2</v>
      </c>
      <c r="N6" s="36">
        <v>6</v>
      </c>
      <c r="O6" s="39">
        <v>-136</v>
      </c>
      <c r="P6" s="36">
        <v>0</v>
      </c>
    </row>
    <row r="7" spans="1:16" s="32" customFormat="1" ht="15.75">
      <c r="A7" s="26" t="s">
        <v>4</v>
      </c>
      <c r="B7" s="26" t="s">
        <v>17</v>
      </c>
      <c r="C7" s="66">
        <v>433</v>
      </c>
      <c r="D7" s="66">
        <v>427</v>
      </c>
      <c r="E7" s="62">
        <v>400</v>
      </c>
      <c r="F7" s="58">
        <v>423</v>
      </c>
      <c r="G7" s="58"/>
      <c r="H7" s="58"/>
      <c r="I7" s="58"/>
      <c r="J7" s="58">
        <v>398</v>
      </c>
      <c r="K7" s="49">
        <v>352</v>
      </c>
      <c r="L7" s="30">
        <f t="shared" si="0"/>
        <v>2433</v>
      </c>
      <c r="M7" s="26">
        <v>2</v>
      </c>
      <c r="N7" s="26">
        <v>6</v>
      </c>
      <c r="O7" s="30">
        <f>L7-2591</f>
        <v>-158</v>
      </c>
      <c r="P7" s="26">
        <v>0</v>
      </c>
    </row>
    <row r="8" spans="1:16" s="57" customFormat="1" ht="15.75">
      <c r="A8" s="1" t="s">
        <v>5</v>
      </c>
      <c r="B8" s="14" t="s">
        <v>24</v>
      </c>
      <c r="C8" s="60"/>
      <c r="D8" s="65"/>
      <c r="E8" s="65"/>
      <c r="F8" s="60"/>
      <c r="G8" s="60"/>
      <c r="H8" s="60"/>
      <c r="I8" s="60"/>
      <c r="J8" s="60"/>
      <c r="K8" s="18"/>
      <c r="L8" s="7">
        <f t="shared" si="0"/>
        <v>0</v>
      </c>
      <c r="M8" s="1"/>
      <c r="N8" s="1"/>
      <c r="O8" s="1"/>
      <c r="P8" s="1"/>
    </row>
    <row r="9" spans="1:16" s="32" customFormat="1" ht="15.75">
      <c r="A9" s="26" t="s">
        <v>6</v>
      </c>
      <c r="B9" s="26" t="s">
        <v>19</v>
      </c>
      <c r="C9" s="66">
        <v>442</v>
      </c>
      <c r="D9" s="66">
        <v>416</v>
      </c>
      <c r="E9" s="62">
        <v>340</v>
      </c>
      <c r="F9" s="58"/>
      <c r="G9" s="66">
        <v>435</v>
      </c>
      <c r="H9" s="58"/>
      <c r="I9" s="58"/>
      <c r="J9" s="58">
        <v>407</v>
      </c>
      <c r="K9" s="88">
        <v>431</v>
      </c>
      <c r="L9" s="30">
        <f t="shared" si="0"/>
        <v>2471</v>
      </c>
      <c r="M9" s="26">
        <v>6</v>
      </c>
      <c r="N9" s="26">
        <v>2</v>
      </c>
      <c r="O9" s="26">
        <v>77</v>
      </c>
      <c r="P9" s="26">
        <v>2</v>
      </c>
    </row>
    <row r="10" spans="1:16" s="32" customFormat="1" ht="15.75">
      <c r="A10" s="26" t="s">
        <v>7</v>
      </c>
      <c r="B10" s="26" t="s">
        <v>23</v>
      </c>
      <c r="C10" s="66">
        <v>456</v>
      </c>
      <c r="D10" s="66">
        <v>428</v>
      </c>
      <c r="E10" s="62"/>
      <c r="F10" s="58">
        <v>397</v>
      </c>
      <c r="G10" s="58">
        <v>374</v>
      </c>
      <c r="H10" s="58"/>
      <c r="I10" s="58"/>
      <c r="J10" s="66">
        <v>411</v>
      </c>
      <c r="K10" s="49">
        <v>373</v>
      </c>
      <c r="L10" s="30">
        <f t="shared" si="0"/>
        <v>2439</v>
      </c>
      <c r="M10" s="26">
        <v>5</v>
      </c>
      <c r="N10" s="26">
        <v>3</v>
      </c>
      <c r="O10" s="26">
        <v>30</v>
      </c>
      <c r="P10" s="26">
        <v>2</v>
      </c>
    </row>
    <row r="11" spans="1:16" s="41" customFormat="1" ht="15.75">
      <c r="A11" s="36" t="s">
        <v>8</v>
      </c>
      <c r="B11" s="36" t="s">
        <v>33</v>
      </c>
      <c r="C11" s="72">
        <v>430</v>
      </c>
      <c r="D11" s="72">
        <v>416</v>
      </c>
      <c r="E11" s="64"/>
      <c r="F11" s="59">
        <v>400</v>
      </c>
      <c r="G11" s="59">
        <v>378</v>
      </c>
      <c r="H11" s="59">
        <v>376</v>
      </c>
      <c r="I11" s="59"/>
      <c r="J11" s="59">
        <v>400</v>
      </c>
      <c r="K11" s="54"/>
      <c r="L11" s="39">
        <f t="shared" si="0"/>
        <v>2400</v>
      </c>
      <c r="M11" s="36">
        <v>2</v>
      </c>
      <c r="N11" s="36">
        <v>6</v>
      </c>
      <c r="O11" s="36">
        <v>-61</v>
      </c>
      <c r="P11" s="36">
        <v>0</v>
      </c>
    </row>
    <row r="12" spans="1:16" s="32" customFormat="1" ht="15.75">
      <c r="A12" s="26" t="s">
        <v>9</v>
      </c>
      <c r="B12" s="26" t="s">
        <v>25</v>
      </c>
      <c r="C12" s="66">
        <v>462</v>
      </c>
      <c r="D12" s="66">
        <v>409</v>
      </c>
      <c r="E12" s="62">
        <v>360</v>
      </c>
      <c r="F12" s="66">
        <v>413</v>
      </c>
      <c r="G12" s="58"/>
      <c r="H12" s="58"/>
      <c r="I12" s="58"/>
      <c r="J12" s="66">
        <v>419</v>
      </c>
      <c r="K12" s="49">
        <v>358</v>
      </c>
      <c r="L12" s="30">
        <f t="shared" si="0"/>
        <v>2421</v>
      </c>
      <c r="M12" s="26">
        <v>4</v>
      </c>
      <c r="N12" s="26">
        <v>4</v>
      </c>
      <c r="O12" s="26">
        <v>-24</v>
      </c>
      <c r="P12" s="26">
        <v>1</v>
      </c>
    </row>
    <row r="13" spans="1:16" s="41" customFormat="1" ht="15.75">
      <c r="A13" s="36" t="s">
        <v>10</v>
      </c>
      <c r="B13" s="36" t="s">
        <v>29</v>
      </c>
      <c r="C13" s="72">
        <v>424</v>
      </c>
      <c r="D13" s="72">
        <v>412</v>
      </c>
      <c r="E13" s="64"/>
      <c r="F13" s="59"/>
      <c r="G13" s="72">
        <v>404</v>
      </c>
      <c r="H13" s="59">
        <v>350</v>
      </c>
      <c r="I13" s="59">
        <v>316</v>
      </c>
      <c r="J13" s="59">
        <v>379</v>
      </c>
      <c r="K13" s="54"/>
      <c r="L13" s="39">
        <f t="shared" si="0"/>
        <v>2285</v>
      </c>
      <c r="M13" s="36">
        <v>3</v>
      </c>
      <c r="N13" s="36">
        <v>5</v>
      </c>
      <c r="O13" s="36">
        <v>-202</v>
      </c>
      <c r="P13" s="36">
        <v>0</v>
      </c>
    </row>
    <row r="14" spans="1:16" s="32" customFormat="1" ht="15.75">
      <c r="A14" s="26" t="s">
        <v>11</v>
      </c>
      <c r="B14" s="26" t="s">
        <v>31</v>
      </c>
      <c r="C14" s="66">
        <v>425</v>
      </c>
      <c r="D14" s="62">
        <v>404</v>
      </c>
      <c r="E14" s="62">
        <v>381</v>
      </c>
      <c r="F14" s="58">
        <v>404</v>
      </c>
      <c r="G14" s="66">
        <v>416</v>
      </c>
      <c r="H14" s="58"/>
      <c r="I14" s="58">
        <v>299</v>
      </c>
      <c r="J14" s="58"/>
      <c r="K14" s="49"/>
      <c r="L14" s="30">
        <f t="shared" si="0"/>
        <v>2329</v>
      </c>
      <c r="M14" s="26">
        <v>2</v>
      </c>
      <c r="N14" s="26">
        <v>6</v>
      </c>
      <c r="O14" s="30">
        <v>-247</v>
      </c>
      <c r="P14" s="26">
        <v>0</v>
      </c>
    </row>
    <row r="15" spans="1:16" s="41" customFormat="1" ht="15.75">
      <c r="A15" s="36" t="s">
        <v>12</v>
      </c>
      <c r="B15" s="36" t="s">
        <v>18</v>
      </c>
      <c r="C15" s="72">
        <v>429</v>
      </c>
      <c r="D15" s="64">
        <v>421</v>
      </c>
      <c r="E15" s="64"/>
      <c r="F15" s="72">
        <v>439</v>
      </c>
      <c r="G15" s="59">
        <v>418</v>
      </c>
      <c r="H15" s="59">
        <v>362</v>
      </c>
      <c r="I15" s="59"/>
      <c r="J15" s="59">
        <v>357</v>
      </c>
      <c r="K15" s="54"/>
      <c r="L15" s="39">
        <f t="shared" si="0"/>
        <v>2426</v>
      </c>
      <c r="M15" s="36">
        <v>2</v>
      </c>
      <c r="N15" s="36">
        <v>6</v>
      </c>
      <c r="O15" s="36">
        <v>-223</v>
      </c>
      <c r="P15" s="36">
        <v>0</v>
      </c>
    </row>
    <row r="16" spans="1:16" s="32" customFormat="1" ht="15.75">
      <c r="A16" s="26" t="s">
        <v>13</v>
      </c>
      <c r="B16" s="26" t="s">
        <v>26</v>
      </c>
      <c r="C16" s="83">
        <v>450</v>
      </c>
      <c r="D16" s="66">
        <v>416</v>
      </c>
      <c r="E16" s="62"/>
      <c r="F16" s="61">
        <v>402</v>
      </c>
      <c r="G16" s="61">
        <v>384</v>
      </c>
      <c r="H16" s="61">
        <v>290</v>
      </c>
      <c r="I16" s="61"/>
      <c r="J16" s="83">
        <v>421</v>
      </c>
      <c r="K16" s="49"/>
      <c r="L16" s="30">
        <f t="shared" si="0"/>
        <v>2363</v>
      </c>
      <c r="M16" s="26">
        <v>3</v>
      </c>
      <c r="N16" s="26">
        <v>5</v>
      </c>
      <c r="O16" s="26">
        <v>-42</v>
      </c>
      <c r="P16" s="26">
        <v>0</v>
      </c>
    </row>
    <row r="17" spans="1:16" s="41" customFormat="1" ht="16.5" thickBot="1">
      <c r="A17" s="36" t="s">
        <v>14</v>
      </c>
      <c r="B17" s="36" t="s">
        <v>27</v>
      </c>
      <c r="C17" s="97">
        <v>430</v>
      </c>
      <c r="D17" s="97">
        <v>450</v>
      </c>
      <c r="E17" s="63">
        <v>355</v>
      </c>
      <c r="F17" s="63">
        <v>399</v>
      </c>
      <c r="G17" s="97">
        <v>424</v>
      </c>
      <c r="H17" s="63"/>
      <c r="I17" s="63"/>
      <c r="J17" s="63">
        <v>193</v>
      </c>
      <c r="K17" s="51">
        <v>190</v>
      </c>
      <c r="L17" s="52">
        <f>SUM(C17:K17)</f>
        <v>2441</v>
      </c>
      <c r="M17" s="53">
        <v>3</v>
      </c>
      <c r="N17" s="53">
        <v>5</v>
      </c>
      <c r="O17" s="53">
        <v>-151</v>
      </c>
      <c r="P17" s="53">
        <v>0</v>
      </c>
    </row>
    <row r="18" spans="3:11" ht="16.5" thickTop="1">
      <c r="C18" s="7">
        <f>SUM(C3:C17)</f>
        <v>6090</v>
      </c>
      <c r="D18" s="7">
        <f>SUM(D3:D17)</f>
        <v>5058</v>
      </c>
      <c r="E18" s="7">
        <f aca="true" t="shared" si="1" ref="E18:K18">SUM(E3:E17)</f>
        <v>2392</v>
      </c>
      <c r="F18" s="7">
        <f t="shared" si="1"/>
        <v>4085</v>
      </c>
      <c r="G18" s="7">
        <f t="shared" si="1"/>
        <v>4752</v>
      </c>
      <c r="H18" s="7">
        <f t="shared" si="1"/>
        <v>2538</v>
      </c>
      <c r="I18" s="7">
        <f t="shared" si="1"/>
        <v>1294</v>
      </c>
      <c r="J18" s="7">
        <f t="shared" si="1"/>
        <v>4901</v>
      </c>
      <c r="K18" s="7">
        <f t="shared" si="1"/>
        <v>2307</v>
      </c>
    </row>
    <row r="19" spans="2:18" ht="36" customHeight="1">
      <c r="B19" s="16" t="s">
        <v>163</v>
      </c>
      <c r="C19" s="22">
        <f>C18/14</f>
        <v>435</v>
      </c>
      <c r="D19" s="22">
        <f>D18/12</f>
        <v>421.5</v>
      </c>
      <c r="E19" s="22">
        <f>E18/6.5</f>
        <v>368</v>
      </c>
      <c r="F19" s="22">
        <f>F18/10</f>
        <v>408.5</v>
      </c>
      <c r="G19" s="22">
        <f>G18/12</f>
        <v>396</v>
      </c>
      <c r="H19" s="22">
        <f>H18/7</f>
        <v>362.57142857142856</v>
      </c>
      <c r="I19" s="22">
        <f>I18/4</f>
        <v>323.5</v>
      </c>
      <c r="J19" s="22">
        <f>J18/12.5</f>
        <v>392.08</v>
      </c>
      <c r="K19" s="22">
        <f>K18/6</f>
        <v>384.5</v>
      </c>
      <c r="L19" s="3" t="s">
        <v>39</v>
      </c>
      <c r="M19" s="118" t="s">
        <v>144</v>
      </c>
      <c r="N19" s="118"/>
      <c r="O19" s="3" t="s">
        <v>40</v>
      </c>
      <c r="P19" s="15" t="s">
        <v>145</v>
      </c>
      <c r="R19" s="19" t="s">
        <v>159</v>
      </c>
    </row>
    <row r="20" spans="12:18" ht="15.75">
      <c r="L20" s="7">
        <f>SUM(L3:L17)</f>
        <v>33417</v>
      </c>
      <c r="M20" s="1">
        <f>SUM(M3:M17)</f>
        <v>39</v>
      </c>
      <c r="N20" s="1">
        <f>SUM(N3:N17)</f>
        <v>73</v>
      </c>
      <c r="O20" s="1">
        <f>SUM(O3:O17)</f>
        <v>-1777</v>
      </c>
      <c r="P20" s="1">
        <f>SUM(P3:P17)</f>
        <v>5</v>
      </c>
      <c r="R20" s="2">
        <f>M20-N20</f>
        <v>-34</v>
      </c>
    </row>
    <row r="21" spans="3:4" ht="15.75">
      <c r="C21" s="119" t="s">
        <v>52</v>
      </c>
      <c r="D21" s="119"/>
    </row>
    <row r="22" spans="3:13" ht="15.75">
      <c r="C22" s="116" t="s">
        <v>168</v>
      </c>
      <c r="D22" s="116"/>
      <c r="L22" s="1" t="s">
        <v>164</v>
      </c>
      <c r="M22" s="24">
        <f>L20/14</f>
        <v>2386.9285714285716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1:13" ht="15.75">
      <c r="A25" s="92" t="s">
        <v>183</v>
      </c>
      <c r="B25" s="86"/>
      <c r="C25" s="94" t="s">
        <v>189</v>
      </c>
      <c r="D25" s="86" t="s">
        <v>181</v>
      </c>
      <c r="E25" s="93" t="s">
        <v>182</v>
      </c>
      <c r="I25" s="1">
        <f>M20+M45</f>
        <v>81</v>
      </c>
      <c r="J25" s="1">
        <f>N20+N45</f>
        <v>143</v>
      </c>
      <c r="K25" s="1">
        <f>P20+P45</f>
        <v>14</v>
      </c>
      <c r="L25" s="115">
        <f>I25-J25</f>
        <v>-62</v>
      </c>
      <c r="M25" s="115"/>
    </row>
    <row r="26" ht="15.75">
      <c r="F26" s="86"/>
    </row>
    <row r="27" ht="15.75">
      <c r="F27" s="86"/>
    </row>
    <row r="29" spans="2:16" ht="34.5" customHeight="1" thickBot="1">
      <c r="B29" s="3" t="s">
        <v>30</v>
      </c>
      <c r="C29" s="13" t="s">
        <v>78</v>
      </c>
      <c r="D29" s="13" t="s">
        <v>77</v>
      </c>
      <c r="E29" s="13" t="s">
        <v>76</v>
      </c>
      <c r="F29" s="13" t="s">
        <v>75</v>
      </c>
      <c r="G29" s="13" t="s">
        <v>74</v>
      </c>
      <c r="H29" s="13" t="s">
        <v>73</v>
      </c>
      <c r="I29" s="13" t="s">
        <v>138</v>
      </c>
      <c r="J29" s="13" t="s">
        <v>156</v>
      </c>
      <c r="K29" s="13" t="s">
        <v>131</v>
      </c>
      <c r="L29" s="3" t="s">
        <v>39</v>
      </c>
      <c r="M29" s="3" t="s">
        <v>21</v>
      </c>
      <c r="N29" s="3" t="s">
        <v>38</v>
      </c>
      <c r="O29" s="3" t="s">
        <v>40</v>
      </c>
      <c r="P29" s="15" t="s">
        <v>143</v>
      </c>
    </row>
    <row r="30" spans="1:16" s="41" customFormat="1" ht="15.75">
      <c r="A30" s="36" t="s">
        <v>198</v>
      </c>
      <c r="B30" s="36" t="s">
        <v>23</v>
      </c>
      <c r="C30" s="36">
        <v>416</v>
      </c>
      <c r="D30" s="67">
        <v>429</v>
      </c>
      <c r="E30" s="36">
        <v>358</v>
      </c>
      <c r="F30" s="36">
        <v>412</v>
      </c>
      <c r="G30" s="67">
        <v>416</v>
      </c>
      <c r="H30" s="36"/>
      <c r="I30" s="36"/>
      <c r="J30" s="67">
        <v>429</v>
      </c>
      <c r="K30" s="36"/>
      <c r="L30" s="36">
        <f>SUM(C30:K30)</f>
        <v>2460</v>
      </c>
      <c r="M30" s="36">
        <v>3</v>
      </c>
      <c r="N30" s="36">
        <v>5</v>
      </c>
      <c r="O30" s="36">
        <f>L30-2503</f>
        <v>-43</v>
      </c>
      <c r="P30" s="36">
        <v>0</v>
      </c>
    </row>
    <row r="31" spans="1:16" s="41" customFormat="1" ht="15.75">
      <c r="A31" s="36" t="s">
        <v>202</v>
      </c>
      <c r="B31" s="36" t="s">
        <v>19</v>
      </c>
      <c r="C31" s="67">
        <v>436</v>
      </c>
      <c r="D31" s="67">
        <v>442</v>
      </c>
      <c r="E31" s="36"/>
      <c r="F31" s="36">
        <v>389</v>
      </c>
      <c r="G31" s="67">
        <v>395</v>
      </c>
      <c r="H31" s="36">
        <v>387</v>
      </c>
      <c r="I31" s="36"/>
      <c r="J31" s="36">
        <v>388</v>
      </c>
      <c r="K31" s="36"/>
      <c r="L31" s="36">
        <f>SUM(C31:K31)</f>
        <v>2437</v>
      </c>
      <c r="M31" s="36">
        <v>5</v>
      </c>
      <c r="N31" s="36">
        <v>3</v>
      </c>
      <c r="O31" s="36">
        <v>61</v>
      </c>
      <c r="P31" s="36">
        <v>2</v>
      </c>
    </row>
    <row r="32" spans="1:16" s="104" customFormat="1" ht="15.75">
      <c r="A32" s="103" t="s">
        <v>204</v>
      </c>
      <c r="B32" s="103" t="s">
        <v>24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36"/>
      <c r="M32" s="103"/>
      <c r="N32" s="103"/>
      <c r="O32" s="103"/>
      <c r="P32" s="103"/>
    </row>
    <row r="33" spans="1:16" s="41" customFormat="1" ht="15.75">
      <c r="A33" s="36" t="s">
        <v>205</v>
      </c>
      <c r="B33" s="36" t="s">
        <v>17</v>
      </c>
      <c r="C33" s="67">
        <v>440</v>
      </c>
      <c r="D33" s="36">
        <v>389</v>
      </c>
      <c r="E33" s="36">
        <v>304</v>
      </c>
      <c r="F33" s="36"/>
      <c r="G33" s="36">
        <v>376</v>
      </c>
      <c r="H33" s="36">
        <v>328</v>
      </c>
      <c r="I33" s="36"/>
      <c r="J33" s="36">
        <v>396</v>
      </c>
      <c r="K33" s="36"/>
      <c r="L33" s="36">
        <f>SUM(C33:K33)</f>
        <v>2233</v>
      </c>
      <c r="M33" s="36">
        <v>1</v>
      </c>
      <c r="N33" s="36">
        <v>7</v>
      </c>
      <c r="O33" s="36">
        <v>-363</v>
      </c>
      <c r="P33" s="36">
        <v>0</v>
      </c>
    </row>
    <row r="34" spans="1:16" s="32" customFormat="1" ht="15.75">
      <c r="A34" s="26" t="s">
        <v>207</v>
      </c>
      <c r="B34" s="26" t="s">
        <v>15</v>
      </c>
      <c r="C34" s="87">
        <v>451</v>
      </c>
      <c r="D34" s="87">
        <v>424</v>
      </c>
      <c r="E34" s="26"/>
      <c r="F34" s="87">
        <v>434</v>
      </c>
      <c r="G34" s="26">
        <v>379</v>
      </c>
      <c r="H34" s="26">
        <v>410</v>
      </c>
      <c r="I34" s="26"/>
      <c r="J34" s="26">
        <v>407</v>
      </c>
      <c r="K34" s="26"/>
      <c r="L34" s="26">
        <f>SUM(C34:K34)</f>
        <v>2505</v>
      </c>
      <c r="M34" s="26">
        <v>5</v>
      </c>
      <c r="N34" s="26">
        <v>3</v>
      </c>
      <c r="O34" s="26">
        <v>11</v>
      </c>
      <c r="P34" s="26">
        <v>2</v>
      </c>
    </row>
    <row r="35" spans="1:16" s="41" customFormat="1" ht="15.75">
      <c r="A35" s="36" t="s">
        <v>208</v>
      </c>
      <c r="B35" s="36" t="s">
        <v>16</v>
      </c>
      <c r="C35" s="67">
        <v>443</v>
      </c>
      <c r="D35" s="36">
        <v>398</v>
      </c>
      <c r="E35" s="36"/>
      <c r="F35" s="67">
        <v>421</v>
      </c>
      <c r="G35" s="36">
        <v>392</v>
      </c>
      <c r="H35" s="36"/>
      <c r="I35" s="36"/>
      <c r="J35" s="36">
        <v>406</v>
      </c>
      <c r="K35" s="36">
        <v>408</v>
      </c>
      <c r="L35" s="36">
        <f aca="true" t="shared" si="2" ref="L35:L44">SUM(C35:K35)</f>
        <v>2468</v>
      </c>
      <c r="M35" s="36">
        <v>2</v>
      </c>
      <c r="N35" s="36">
        <v>6</v>
      </c>
      <c r="O35" s="36">
        <f>L35-2585</f>
        <v>-117</v>
      </c>
      <c r="P35" s="36">
        <v>0</v>
      </c>
    </row>
    <row r="36" spans="1:16" s="32" customFormat="1" ht="15.75">
      <c r="A36" s="26" t="s">
        <v>209</v>
      </c>
      <c r="B36" s="26" t="s">
        <v>28</v>
      </c>
      <c r="C36" s="87">
        <v>409</v>
      </c>
      <c r="D36" s="87">
        <v>424</v>
      </c>
      <c r="E36" s="26">
        <v>392</v>
      </c>
      <c r="F36" s="26">
        <v>370</v>
      </c>
      <c r="G36" s="26"/>
      <c r="H36" s="26">
        <v>340</v>
      </c>
      <c r="I36" s="26"/>
      <c r="J36" s="26"/>
      <c r="K36" s="26">
        <v>406</v>
      </c>
      <c r="L36" s="26">
        <f t="shared" si="2"/>
        <v>2341</v>
      </c>
      <c r="M36" s="26">
        <v>2</v>
      </c>
      <c r="N36" s="26">
        <v>6</v>
      </c>
      <c r="O36" s="26">
        <v>-235</v>
      </c>
      <c r="P36" s="26">
        <v>0</v>
      </c>
    </row>
    <row r="37" spans="1:16" s="41" customFormat="1" ht="15.75">
      <c r="A37" s="36" t="s">
        <v>210</v>
      </c>
      <c r="B37" s="36" t="s">
        <v>20</v>
      </c>
      <c r="C37" s="67">
        <v>446</v>
      </c>
      <c r="D37" s="67">
        <v>422</v>
      </c>
      <c r="E37" s="36"/>
      <c r="F37" s="36"/>
      <c r="G37" s="36">
        <v>413</v>
      </c>
      <c r="H37" s="36"/>
      <c r="I37" s="36">
        <v>317</v>
      </c>
      <c r="J37" s="36">
        <v>383</v>
      </c>
      <c r="K37" s="36">
        <v>405</v>
      </c>
      <c r="L37" s="36">
        <f t="shared" si="2"/>
        <v>2386</v>
      </c>
      <c r="M37" s="36">
        <v>2</v>
      </c>
      <c r="N37" s="36">
        <v>6</v>
      </c>
      <c r="O37" s="36">
        <v>-190</v>
      </c>
      <c r="P37" s="36">
        <v>0</v>
      </c>
    </row>
    <row r="38" spans="1:16" s="32" customFormat="1" ht="15.75">
      <c r="A38" s="26" t="s">
        <v>211</v>
      </c>
      <c r="B38" s="26" t="s">
        <v>27</v>
      </c>
      <c r="C38" s="87">
        <v>447</v>
      </c>
      <c r="D38" s="26">
        <v>401</v>
      </c>
      <c r="E38" s="26">
        <v>374</v>
      </c>
      <c r="F38" s="26">
        <v>420</v>
      </c>
      <c r="G38" s="26">
        <v>356</v>
      </c>
      <c r="H38" s="26">
        <v>341</v>
      </c>
      <c r="I38" s="26"/>
      <c r="J38" s="26"/>
      <c r="K38" s="26"/>
      <c r="L38" s="26">
        <f t="shared" si="2"/>
        <v>2339</v>
      </c>
      <c r="M38" s="26">
        <v>1</v>
      </c>
      <c r="N38" s="26">
        <v>7</v>
      </c>
      <c r="O38" s="26">
        <f>L38-2623</f>
        <v>-284</v>
      </c>
      <c r="P38" s="26">
        <v>0</v>
      </c>
    </row>
    <row r="39" spans="1:16" s="41" customFormat="1" ht="15.75">
      <c r="A39" s="36" t="s">
        <v>212</v>
      </c>
      <c r="B39" s="36" t="s">
        <v>26</v>
      </c>
      <c r="C39" s="67">
        <v>472</v>
      </c>
      <c r="D39" s="36">
        <v>402</v>
      </c>
      <c r="E39" s="36">
        <v>385</v>
      </c>
      <c r="F39" s="67">
        <v>419</v>
      </c>
      <c r="G39" s="36"/>
      <c r="H39" s="36"/>
      <c r="I39" s="36"/>
      <c r="J39" s="36">
        <v>400</v>
      </c>
      <c r="K39" s="36">
        <v>411</v>
      </c>
      <c r="L39" s="36">
        <f t="shared" si="2"/>
        <v>2489</v>
      </c>
      <c r="M39" s="36">
        <v>2</v>
      </c>
      <c r="N39" s="36">
        <v>6</v>
      </c>
      <c r="O39" s="36">
        <v>-60</v>
      </c>
      <c r="P39" s="36">
        <v>0</v>
      </c>
    </row>
    <row r="40" spans="1:16" s="32" customFormat="1" ht="15.75">
      <c r="A40" s="26" t="s">
        <v>213</v>
      </c>
      <c r="B40" s="26" t="s">
        <v>18</v>
      </c>
      <c r="C40" s="87">
        <v>426</v>
      </c>
      <c r="D40" s="26"/>
      <c r="E40" s="26"/>
      <c r="F40" s="87">
        <v>480</v>
      </c>
      <c r="G40" s="26">
        <v>373</v>
      </c>
      <c r="H40" s="26">
        <v>388</v>
      </c>
      <c r="I40" s="26"/>
      <c r="J40" s="26">
        <v>398</v>
      </c>
      <c r="K40" s="26">
        <v>377</v>
      </c>
      <c r="L40" s="26">
        <f t="shared" si="2"/>
        <v>2442</v>
      </c>
      <c r="M40" s="26">
        <v>4</v>
      </c>
      <c r="N40" s="26">
        <v>4</v>
      </c>
      <c r="O40" s="26">
        <v>17</v>
      </c>
      <c r="P40" s="26">
        <v>1</v>
      </c>
    </row>
    <row r="41" spans="1:16" s="41" customFormat="1" ht="15.75">
      <c r="A41" s="36" t="s">
        <v>214</v>
      </c>
      <c r="B41" s="36" t="s">
        <v>31</v>
      </c>
      <c r="C41" s="67">
        <v>439</v>
      </c>
      <c r="D41" s="36">
        <v>401</v>
      </c>
      <c r="E41" s="36">
        <v>379</v>
      </c>
      <c r="F41" s="36">
        <v>400</v>
      </c>
      <c r="G41" s="36"/>
      <c r="H41" s="36">
        <v>374</v>
      </c>
      <c r="I41" s="36"/>
      <c r="J41" s="36">
        <v>419</v>
      </c>
      <c r="K41" s="36"/>
      <c r="L41" s="36">
        <f t="shared" si="2"/>
        <v>2412</v>
      </c>
      <c r="M41" s="36">
        <v>1</v>
      </c>
      <c r="N41" s="36">
        <v>7</v>
      </c>
      <c r="O41" s="36">
        <v>-153</v>
      </c>
      <c r="P41" s="36">
        <v>0</v>
      </c>
    </row>
    <row r="42" spans="1:16" s="32" customFormat="1" ht="15.75">
      <c r="A42" s="26" t="s">
        <v>215</v>
      </c>
      <c r="B42" s="26" t="s">
        <v>29</v>
      </c>
      <c r="C42" s="87">
        <v>441</v>
      </c>
      <c r="D42" s="26"/>
      <c r="E42" s="26">
        <v>392</v>
      </c>
      <c r="F42" s="87">
        <v>437</v>
      </c>
      <c r="G42" s="87">
        <v>407</v>
      </c>
      <c r="H42" s="26"/>
      <c r="I42" s="26"/>
      <c r="J42" s="87">
        <v>415</v>
      </c>
      <c r="K42" s="26">
        <v>364</v>
      </c>
      <c r="L42" s="26">
        <f t="shared" si="2"/>
        <v>2456</v>
      </c>
      <c r="M42" s="26">
        <v>6</v>
      </c>
      <c r="N42" s="26">
        <v>2</v>
      </c>
      <c r="O42" s="26">
        <v>13</v>
      </c>
      <c r="P42" s="26">
        <v>2</v>
      </c>
    </row>
    <row r="43" spans="1:16" s="41" customFormat="1" ht="15.75">
      <c r="A43" s="36" t="s">
        <v>216</v>
      </c>
      <c r="B43" s="36" t="s">
        <v>25</v>
      </c>
      <c r="C43" s="67">
        <v>447</v>
      </c>
      <c r="D43" s="67">
        <v>424</v>
      </c>
      <c r="E43" s="36">
        <v>382</v>
      </c>
      <c r="F43" s="36"/>
      <c r="G43" s="67">
        <v>441</v>
      </c>
      <c r="H43" s="36"/>
      <c r="I43" s="36">
        <v>330</v>
      </c>
      <c r="J43" s="36">
        <v>398</v>
      </c>
      <c r="K43" s="36"/>
      <c r="L43" s="36">
        <f t="shared" si="2"/>
        <v>2422</v>
      </c>
      <c r="M43" s="36">
        <v>5</v>
      </c>
      <c r="N43" s="36">
        <v>3</v>
      </c>
      <c r="O43" s="36">
        <v>96</v>
      </c>
      <c r="P43" s="36">
        <v>2</v>
      </c>
    </row>
    <row r="44" spans="1:16" s="32" customFormat="1" ht="16.5" thickBot="1">
      <c r="A44" s="26" t="s">
        <v>217</v>
      </c>
      <c r="B44" s="26" t="s">
        <v>33</v>
      </c>
      <c r="C44" s="87">
        <v>433</v>
      </c>
      <c r="D44" s="26">
        <v>410</v>
      </c>
      <c r="E44" s="26"/>
      <c r="F44" s="87">
        <v>432</v>
      </c>
      <c r="G44" s="26">
        <v>411</v>
      </c>
      <c r="H44" s="26">
        <v>390</v>
      </c>
      <c r="I44" s="26"/>
      <c r="J44" s="87">
        <v>414</v>
      </c>
      <c r="K44" s="26"/>
      <c r="L44" s="26">
        <f t="shared" si="2"/>
        <v>2490</v>
      </c>
      <c r="M44" s="35">
        <v>3</v>
      </c>
      <c r="N44" s="35">
        <v>5</v>
      </c>
      <c r="O44" s="35">
        <v>-29</v>
      </c>
      <c r="P44" s="35">
        <v>0</v>
      </c>
    </row>
    <row r="45" spans="13:16" ht="16.5" thickTop="1">
      <c r="M45" s="1">
        <f>SUM(M30:M44)</f>
        <v>42</v>
      </c>
      <c r="N45" s="1">
        <f>SUM(N30:N44)</f>
        <v>70</v>
      </c>
      <c r="O45" s="1">
        <f>SUM(O30:O44)</f>
        <v>-1276</v>
      </c>
      <c r="P45" s="1">
        <f>SUM(P30:P44)</f>
        <v>9</v>
      </c>
    </row>
  </sheetData>
  <mergeCells count="9">
    <mergeCell ref="C1:K1"/>
    <mergeCell ref="M1:N1"/>
    <mergeCell ref="C21:D21"/>
    <mergeCell ref="M19:N19"/>
    <mergeCell ref="I24:J24"/>
    <mergeCell ref="L24:M24"/>
    <mergeCell ref="L25:M25"/>
    <mergeCell ref="C22:D22"/>
    <mergeCell ref="C23:D23"/>
  </mergeCells>
  <printOptions/>
  <pageMargins left="0.75" right="0.75" top="1" bottom="1" header="0.5" footer="0.5"/>
  <pageSetup orientation="portrait" paperSize="9"/>
  <ignoredErrors>
    <ignoredError sqref="D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5"/>
  <sheetViews>
    <sheetView zoomScale="89" zoomScaleNormal="89" workbookViewId="0" topLeftCell="A19">
      <selection activeCell="N45" sqref="N45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0.875" style="1" customWidth="1"/>
    <col min="10" max="10" width="9.125" style="1" customWidth="1"/>
    <col min="11" max="11" width="14.875" style="1" bestFit="1" customWidth="1"/>
    <col min="12" max="12" width="11.25390625" style="1" customWidth="1"/>
    <col min="13" max="13" width="10.375" style="1" customWidth="1"/>
    <col min="14" max="14" width="13.375" style="1" customWidth="1"/>
    <col min="15" max="15" width="10.875" style="1" customWidth="1"/>
    <col min="17" max="17" width="15.75390625" style="0" bestFit="1" customWidth="1"/>
  </cols>
  <sheetData>
    <row r="1" spans="3:18" ht="15.75">
      <c r="C1" s="118" t="s">
        <v>32</v>
      </c>
      <c r="D1" s="118"/>
      <c r="E1" s="118"/>
      <c r="F1" s="118"/>
      <c r="G1" s="118"/>
      <c r="H1" s="118"/>
      <c r="I1" s="118"/>
      <c r="J1" s="118"/>
      <c r="L1" s="118" t="s">
        <v>37</v>
      </c>
      <c r="M1" s="118"/>
      <c r="P1" s="2"/>
      <c r="Q1" s="2"/>
      <c r="R1" s="2"/>
    </row>
    <row r="2" spans="2:15" ht="48" thickBot="1">
      <c r="B2" s="3" t="s">
        <v>30</v>
      </c>
      <c r="C2" s="13" t="s">
        <v>82</v>
      </c>
      <c r="D2" s="13" t="s">
        <v>83</v>
      </c>
      <c r="E2" s="13" t="s">
        <v>84</v>
      </c>
      <c r="F2" s="13" t="s">
        <v>85</v>
      </c>
      <c r="G2" s="13" t="s">
        <v>86</v>
      </c>
      <c r="H2" s="13" t="s">
        <v>87</v>
      </c>
      <c r="I2" s="13" t="s">
        <v>154</v>
      </c>
      <c r="J2" s="13" t="s">
        <v>122</v>
      </c>
      <c r="K2" s="16" t="s">
        <v>39</v>
      </c>
      <c r="L2" s="16" t="s">
        <v>19</v>
      </c>
      <c r="M2" s="16" t="s">
        <v>38</v>
      </c>
      <c r="N2" s="16" t="s">
        <v>40</v>
      </c>
      <c r="O2" s="15" t="s">
        <v>143</v>
      </c>
    </row>
    <row r="3" spans="1:15" s="32" customFormat="1" ht="15.75">
      <c r="A3" s="26" t="s">
        <v>0</v>
      </c>
      <c r="B3" s="26" t="s">
        <v>28</v>
      </c>
      <c r="C3" s="58">
        <v>378</v>
      </c>
      <c r="D3" s="58">
        <v>365</v>
      </c>
      <c r="E3" s="62">
        <v>380</v>
      </c>
      <c r="F3" s="62"/>
      <c r="G3" s="58">
        <v>403</v>
      </c>
      <c r="H3" s="66">
        <v>419</v>
      </c>
      <c r="I3" s="66">
        <v>430</v>
      </c>
      <c r="J3" s="58"/>
      <c r="K3" s="30">
        <f aca="true" t="shared" si="0" ref="K3:K17">SUM(C3:J3)</f>
        <v>2375</v>
      </c>
      <c r="L3" s="26">
        <v>2</v>
      </c>
      <c r="M3" s="26">
        <v>6</v>
      </c>
      <c r="N3" s="26">
        <v>-188</v>
      </c>
      <c r="O3" s="26">
        <v>0</v>
      </c>
    </row>
    <row r="4" spans="1:15" s="41" customFormat="1" ht="15.75">
      <c r="A4" s="36" t="s">
        <v>1</v>
      </c>
      <c r="B4" s="36" t="s">
        <v>16</v>
      </c>
      <c r="C4" s="64"/>
      <c r="D4" s="59"/>
      <c r="E4" s="64">
        <v>397</v>
      </c>
      <c r="F4" s="64">
        <v>381</v>
      </c>
      <c r="G4" s="59">
        <v>389</v>
      </c>
      <c r="H4" s="59">
        <v>397</v>
      </c>
      <c r="I4" s="59">
        <v>376</v>
      </c>
      <c r="J4" s="72">
        <v>408</v>
      </c>
      <c r="K4" s="39">
        <f t="shared" si="0"/>
        <v>2348</v>
      </c>
      <c r="L4" s="36">
        <v>1</v>
      </c>
      <c r="M4" s="36">
        <v>7</v>
      </c>
      <c r="N4" s="36">
        <v>-203</v>
      </c>
      <c r="O4" s="36">
        <v>0</v>
      </c>
    </row>
    <row r="5" spans="1:15" s="32" customFormat="1" ht="15.75">
      <c r="A5" s="26" t="s">
        <v>2</v>
      </c>
      <c r="B5" s="26" t="s">
        <v>15</v>
      </c>
      <c r="C5" s="58">
        <v>403</v>
      </c>
      <c r="D5" s="66">
        <v>447</v>
      </c>
      <c r="E5" s="66">
        <v>444</v>
      </c>
      <c r="F5" s="62">
        <v>183</v>
      </c>
      <c r="G5" s="58"/>
      <c r="H5" s="58">
        <v>415</v>
      </c>
      <c r="I5" s="58">
        <v>210</v>
      </c>
      <c r="J5" s="66">
        <v>436</v>
      </c>
      <c r="K5" s="30">
        <f t="shared" si="0"/>
        <v>2538</v>
      </c>
      <c r="L5" s="26">
        <v>5</v>
      </c>
      <c r="M5" s="26">
        <v>3</v>
      </c>
      <c r="N5" s="26">
        <v>41</v>
      </c>
      <c r="O5" s="26">
        <v>2</v>
      </c>
    </row>
    <row r="6" spans="1:15" s="41" customFormat="1" ht="15.75">
      <c r="A6" s="36" t="s">
        <v>3</v>
      </c>
      <c r="B6" s="36" t="s">
        <v>17</v>
      </c>
      <c r="C6" s="64">
        <v>376</v>
      </c>
      <c r="D6" s="59">
        <v>395</v>
      </c>
      <c r="E6" s="72">
        <v>429</v>
      </c>
      <c r="F6" s="64"/>
      <c r="G6" s="59"/>
      <c r="H6" s="59">
        <v>413</v>
      </c>
      <c r="I6" s="72">
        <v>421</v>
      </c>
      <c r="J6" s="59">
        <v>363</v>
      </c>
      <c r="K6" s="39">
        <f t="shared" si="0"/>
        <v>2397</v>
      </c>
      <c r="L6" s="36">
        <v>2</v>
      </c>
      <c r="M6" s="36">
        <v>6</v>
      </c>
      <c r="N6" s="39">
        <f>K6-2592</f>
        <v>-195</v>
      </c>
      <c r="O6" s="36">
        <v>0</v>
      </c>
    </row>
    <row r="7" spans="1:15" s="57" customFormat="1" ht="15.75">
      <c r="A7" s="1" t="s">
        <v>4</v>
      </c>
      <c r="B7" s="14" t="s">
        <v>24</v>
      </c>
      <c r="C7" s="60"/>
      <c r="D7" s="60"/>
      <c r="E7" s="65"/>
      <c r="F7" s="65"/>
      <c r="G7" s="60"/>
      <c r="H7" s="60"/>
      <c r="I7" s="60"/>
      <c r="J7" s="60"/>
      <c r="K7" s="7">
        <f t="shared" si="0"/>
        <v>0</v>
      </c>
      <c r="L7" s="1"/>
      <c r="M7" s="1"/>
      <c r="N7" s="1"/>
      <c r="O7" s="1"/>
    </row>
    <row r="8" spans="1:15" s="32" customFormat="1" ht="15.75">
      <c r="A8" s="26" t="s">
        <v>5</v>
      </c>
      <c r="B8" s="26" t="s">
        <v>23</v>
      </c>
      <c r="C8" s="66">
        <v>416</v>
      </c>
      <c r="D8" s="58">
        <v>381</v>
      </c>
      <c r="E8" s="62"/>
      <c r="F8" s="62">
        <v>361</v>
      </c>
      <c r="G8" s="58"/>
      <c r="H8" s="58">
        <v>409</v>
      </c>
      <c r="I8" s="66">
        <v>458</v>
      </c>
      <c r="J8" s="58">
        <v>394</v>
      </c>
      <c r="K8" s="30">
        <f t="shared" si="0"/>
        <v>2419</v>
      </c>
      <c r="L8" s="26">
        <v>2</v>
      </c>
      <c r="M8" s="26">
        <v>6</v>
      </c>
      <c r="N8" s="30">
        <v>-163</v>
      </c>
      <c r="O8" s="26">
        <v>0</v>
      </c>
    </row>
    <row r="9" spans="1:15" s="41" customFormat="1" ht="15.75">
      <c r="A9" s="36" t="s">
        <v>6</v>
      </c>
      <c r="B9" s="36" t="s">
        <v>21</v>
      </c>
      <c r="C9" s="64">
        <v>368</v>
      </c>
      <c r="D9" s="59"/>
      <c r="E9" s="64">
        <v>412</v>
      </c>
      <c r="F9" s="64"/>
      <c r="G9" s="59">
        <v>360</v>
      </c>
      <c r="H9" s="72">
        <v>435</v>
      </c>
      <c r="I9" s="72">
        <v>426</v>
      </c>
      <c r="J9" s="59">
        <v>393</v>
      </c>
      <c r="K9" s="39">
        <f t="shared" si="0"/>
        <v>2394</v>
      </c>
      <c r="L9" s="36">
        <v>2</v>
      </c>
      <c r="M9" s="36">
        <v>6</v>
      </c>
      <c r="N9" s="36">
        <v>-77</v>
      </c>
      <c r="O9" s="36">
        <v>0</v>
      </c>
    </row>
    <row r="10" spans="1:15" s="32" customFormat="1" ht="15.75">
      <c r="A10" s="26" t="s">
        <v>7</v>
      </c>
      <c r="B10" s="26" t="s">
        <v>33</v>
      </c>
      <c r="C10" s="58">
        <v>353</v>
      </c>
      <c r="D10" s="58"/>
      <c r="E10" s="66">
        <v>412</v>
      </c>
      <c r="F10" s="62">
        <v>363</v>
      </c>
      <c r="G10" s="58"/>
      <c r="H10" s="66">
        <v>416</v>
      </c>
      <c r="I10" s="66">
        <v>437</v>
      </c>
      <c r="J10" s="58">
        <v>404</v>
      </c>
      <c r="K10" s="30">
        <f t="shared" si="0"/>
        <v>2385</v>
      </c>
      <c r="L10" s="26">
        <v>3</v>
      </c>
      <c r="M10" s="26">
        <v>5</v>
      </c>
      <c r="N10" s="26">
        <v>-42</v>
      </c>
      <c r="O10" s="26">
        <v>0</v>
      </c>
    </row>
    <row r="11" spans="1:15" s="41" customFormat="1" ht="15.75">
      <c r="A11" s="36" t="s">
        <v>8</v>
      </c>
      <c r="B11" s="36" t="s">
        <v>25</v>
      </c>
      <c r="C11" s="64"/>
      <c r="D11" s="59">
        <v>373</v>
      </c>
      <c r="E11" s="72">
        <v>415</v>
      </c>
      <c r="F11" s="64"/>
      <c r="G11" s="59">
        <v>360</v>
      </c>
      <c r="H11" s="72">
        <v>400</v>
      </c>
      <c r="I11" s="72">
        <v>417</v>
      </c>
      <c r="J11" s="59">
        <v>365</v>
      </c>
      <c r="K11" s="39">
        <f t="shared" si="0"/>
        <v>2330</v>
      </c>
      <c r="L11" s="36">
        <v>5</v>
      </c>
      <c r="M11" s="36">
        <v>3</v>
      </c>
      <c r="N11" s="39">
        <v>38</v>
      </c>
      <c r="O11" s="36">
        <v>2</v>
      </c>
    </row>
    <row r="12" spans="1:15" s="32" customFormat="1" ht="15.75">
      <c r="A12" s="26" t="s">
        <v>9</v>
      </c>
      <c r="B12" s="26" t="s">
        <v>29</v>
      </c>
      <c r="C12" s="58">
        <v>369</v>
      </c>
      <c r="D12" s="58"/>
      <c r="E12" s="62">
        <v>385</v>
      </c>
      <c r="F12" s="62"/>
      <c r="G12" s="66">
        <v>399</v>
      </c>
      <c r="H12" s="66">
        <v>408</v>
      </c>
      <c r="I12" s="66">
        <v>441</v>
      </c>
      <c r="J12" s="58">
        <v>354</v>
      </c>
      <c r="K12" s="30">
        <f t="shared" si="0"/>
        <v>2356</v>
      </c>
      <c r="L12" s="26">
        <v>3</v>
      </c>
      <c r="M12" s="26">
        <v>5</v>
      </c>
      <c r="N12" s="26">
        <v>-42</v>
      </c>
      <c r="O12" s="26">
        <v>0</v>
      </c>
    </row>
    <row r="13" spans="1:15" s="41" customFormat="1" ht="15.75">
      <c r="A13" s="36" t="s">
        <v>10</v>
      </c>
      <c r="B13" s="36" t="s">
        <v>31</v>
      </c>
      <c r="C13" s="64"/>
      <c r="D13" s="59">
        <v>370</v>
      </c>
      <c r="E13" s="64">
        <v>413</v>
      </c>
      <c r="F13" s="64">
        <v>401</v>
      </c>
      <c r="G13" s="59">
        <v>405</v>
      </c>
      <c r="H13" s="59">
        <v>400</v>
      </c>
      <c r="I13" s="72">
        <v>423</v>
      </c>
      <c r="J13" s="59"/>
      <c r="K13" s="39">
        <f t="shared" si="0"/>
        <v>2412</v>
      </c>
      <c r="L13" s="36">
        <v>1</v>
      </c>
      <c r="M13" s="36">
        <v>7</v>
      </c>
      <c r="N13" s="36">
        <v>-204</v>
      </c>
      <c r="O13" s="36">
        <v>0</v>
      </c>
    </row>
    <row r="14" spans="1:15" s="32" customFormat="1" ht="15.75">
      <c r="A14" s="26" t="s">
        <v>11</v>
      </c>
      <c r="B14" s="26" t="s">
        <v>18</v>
      </c>
      <c r="C14" s="61">
        <v>384</v>
      </c>
      <c r="D14" s="61"/>
      <c r="E14" s="62">
        <v>390</v>
      </c>
      <c r="F14" s="62">
        <v>393</v>
      </c>
      <c r="G14" s="61"/>
      <c r="H14" s="61">
        <v>391</v>
      </c>
      <c r="I14" s="83">
        <v>417</v>
      </c>
      <c r="J14" s="61">
        <v>381</v>
      </c>
      <c r="K14" s="30">
        <f t="shared" si="0"/>
        <v>2356</v>
      </c>
      <c r="L14" s="26">
        <v>1</v>
      </c>
      <c r="M14" s="26">
        <v>7</v>
      </c>
      <c r="N14" s="26">
        <v>-206</v>
      </c>
      <c r="O14" s="26">
        <v>0</v>
      </c>
    </row>
    <row r="15" spans="1:15" s="41" customFormat="1" ht="15.75">
      <c r="A15" s="36" t="s">
        <v>12</v>
      </c>
      <c r="B15" s="36" t="s">
        <v>26</v>
      </c>
      <c r="C15" s="64">
        <v>371</v>
      </c>
      <c r="D15" s="59"/>
      <c r="E15" s="64">
        <v>360</v>
      </c>
      <c r="F15" s="64">
        <v>420</v>
      </c>
      <c r="G15" s="59">
        <v>357</v>
      </c>
      <c r="H15" s="59">
        <v>400</v>
      </c>
      <c r="I15" s="72">
        <v>443</v>
      </c>
      <c r="J15" s="59"/>
      <c r="K15" s="39">
        <f t="shared" si="0"/>
        <v>2351</v>
      </c>
      <c r="L15" s="36">
        <v>1</v>
      </c>
      <c r="M15" s="36">
        <v>7</v>
      </c>
      <c r="N15" s="36">
        <v>-286</v>
      </c>
      <c r="O15" s="36">
        <v>0</v>
      </c>
    </row>
    <row r="16" spans="1:15" s="32" customFormat="1" ht="15.75">
      <c r="A16" s="26" t="s">
        <v>13</v>
      </c>
      <c r="B16" s="26" t="s">
        <v>27</v>
      </c>
      <c r="C16" s="58">
        <v>395</v>
      </c>
      <c r="D16" s="58"/>
      <c r="E16" s="62">
        <v>373</v>
      </c>
      <c r="F16" s="62">
        <v>400</v>
      </c>
      <c r="G16" s="58"/>
      <c r="H16" s="66">
        <v>427</v>
      </c>
      <c r="I16" s="66">
        <v>411</v>
      </c>
      <c r="J16" s="58">
        <v>403</v>
      </c>
      <c r="K16" s="30">
        <f t="shared" si="0"/>
        <v>2409</v>
      </c>
      <c r="L16" s="26">
        <v>2</v>
      </c>
      <c r="M16" s="26">
        <v>6</v>
      </c>
      <c r="N16" s="30">
        <f>K16-2504</f>
        <v>-95</v>
      </c>
      <c r="O16" s="26">
        <v>0</v>
      </c>
    </row>
    <row r="17" spans="1:15" s="41" customFormat="1" ht="16.5" thickBot="1">
      <c r="A17" s="36" t="s">
        <v>14</v>
      </c>
      <c r="B17" s="36" t="s">
        <v>20</v>
      </c>
      <c r="C17" s="63">
        <v>347</v>
      </c>
      <c r="D17" s="63">
        <v>385</v>
      </c>
      <c r="E17" s="63"/>
      <c r="F17" s="63">
        <v>387</v>
      </c>
      <c r="G17" s="63">
        <v>336</v>
      </c>
      <c r="H17" s="63"/>
      <c r="I17" s="97">
        <v>424</v>
      </c>
      <c r="J17" s="63">
        <v>386</v>
      </c>
      <c r="K17" s="56">
        <f t="shared" si="0"/>
        <v>2265</v>
      </c>
      <c r="L17" s="53">
        <v>1</v>
      </c>
      <c r="M17" s="53">
        <v>7</v>
      </c>
      <c r="N17" s="53">
        <v>-225</v>
      </c>
      <c r="O17" s="53">
        <v>0</v>
      </c>
    </row>
    <row r="18" spans="3:10" ht="16.5" thickTop="1">
      <c r="C18" s="7">
        <f>SUM(C3:C17)</f>
        <v>4160</v>
      </c>
      <c r="D18" s="7">
        <f>SUM(D3:D17)</f>
        <v>2716</v>
      </c>
      <c r="E18" s="7">
        <f aca="true" t="shared" si="1" ref="E18:J18">SUM(E3:E17)</f>
        <v>4810</v>
      </c>
      <c r="F18" s="7">
        <f t="shared" si="1"/>
        <v>3289</v>
      </c>
      <c r="G18" s="7">
        <f t="shared" si="1"/>
        <v>3009</v>
      </c>
      <c r="H18" s="7">
        <f t="shared" si="1"/>
        <v>5330</v>
      </c>
      <c r="I18" s="7">
        <f t="shared" si="1"/>
        <v>5734</v>
      </c>
      <c r="J18" s="7">
        <f t="shared" si="1"/>
        <v>4287</v>
      </c>
    </row>
    <row r="19" spans="2:17" ht="33" customHeight="1">
      <c r="B19" s="16" t="s">
        <v>163</v>
      </c>
      <c r="C19" s="22">
        <f>C18/11</f>
        <v>378.1818181818182</v>
      </c>
      <c r="D19" s="22">
        <f>D18/7</f>
        <v>388</v>
      </c>
      <c r="E19" s="22">
        <f>E18/12</f>
        <v>400.8333333333333</v>
      </c>
      <c r="F19" s="22">
        <f>F18/8.5</f>
        <v>386.94117647058823</v>
      </c>
      <c r="G19" s="22">
        <f>G18/8</f>
        <v>376.125</v>
      </c>
      <c r="H19" s="22">
        <f>H18/13</f>
        <v>410</v>
      </c>
      <c r="I19" s="22">
        <f>I18/13.5</f>
        <v>424.74074074074076</v>
      </c>
      <c r="J19" s="22">
        <f>J18/11</f>
        <v>389.72727272727275</v>
      </c>
      <c r="K19" s="3" t="s">
        <v>39</v>
      </c>
      <c r="L19" s="118" t="s">
        <v>144</v>
      </c>
      <c r="M19" s="118"/>
      <c r="N19" s="3" t="s">
        <v>40</v>
      </c>
      <c r="O19" s="15" t="s">
        <v>145</v>
      </c>
      <c r="Q19" s="19" t="s">
        <v>159</v>
      </c>
    </row>
    <row r="20" spans="11:17" ht="15.75">
      <c r="K20" s="7">
        <f>SUM(K3:K17)</f>
        <v>33335</v>
      </c>
      <c r="L20" s="1">
        <f>SUM(L3:L17)</f>
        <v>31</v>
      </c>
      <c r="M20" s="1">
        <f>SUM(M3:M17)</f>
        <v>81</v>
      </c>
      <c r="N20" s="1">
        <f>SUM(N3:N17)</f>
        <v>-1847</v>
      </c>
      <c r="O20" s="1">
        <f>SUM(O3:O17)</f>
        <v>4</v>
      </c>
      <c r="Q20" s="2">
        <f>L20-M20</f>
        <v>-50</v>
      </c>
    </row>
    <row r="22" spans="3:12" ht="15.75">
      <c r="C22" s="119" t="s">
        <v>52</v>
      </c>
      <c r="D22" s="119"/>
      <c r="K22" s="1" t="s">
        <v>164</v>
      </c>
      <c r="L22" s="24">
        <f>SUM(K3:K17)/14</f>
        <v>2381.0714285714284</v>
      </c>
    </row>
    <row r="23" spans="3:4" ht="15.75">
      <c r="C23" s="116" t="s">
        <v>168</v>
      </c>
      <c r="D23" s="116"/>
    </row>
    <row r="24" spans="3:13" ht="15.75">
      <c r="C24" s="117" t="s">
        <v>169</v>
      </c>
      <c r="D24" s="117"/>
      <c r="I24" s="115" t="s">
        <v>199</v>
      </c>
      <c r="J24" s="115"/>
      <c r="K24" s="1" t="s">
        <v>200</v>
      </c>
      <c r="L24" s="122" t="s">
        <v>159</v>
      </c>
      <c r="M24" s="122"/>
    </row>
    <row r="25" spans="9:13" ht="15.75">
      <c r="I25" s="1">
        <f>L20+L45</f>
        <v>62</v>
      </c>
      <c r="J25" s="1">
        <f>M20+M45</f>
        <v>162</v>
      </c>
      <c r="K25" s="1">
        <f>O20+O45</f>
        <v>6</v>
      </c>
      <c r="L25" s="115">
        <f>I25-J25</f>
        <v>-100</v>
      </c>
      <c r="M25" s="115"/>
    </row>
    <row r="26" spans="1:5" ht="15.75">
      <c r="A26" s="92" t="s">
        <v>183</v>
      </c>
      <c r="B26" s="86"/>
      <c r="C26" s="73" t="s">
        <v>190</v>
      </c>
      <c r="D26" s="86" t="s">
        <v>191</v>
      </c>
      <c r="E26" s="93" t="s">
        <v>182</v>
      </c>
    </row>
    <row r="27" spans="1:5" ht="15.75">
      <c r="A27" s="92"/>
      <c r="B27" s="86"/>
      <c r="C27" s="73"/>
      <c r="D27" s="86"/>
      <c r="E27" s="93"/>
    </row>
    <row r="28" ht="15.75">
      <c r="F28" s="86"/>
    </row>
    <row r="29" spans="2:15" ht="48" thickBot="1">
      <c r="B29" s="3" t="s">
        <v>30</v>
      </c>
      <c r="C29" s="13" t="s">
        <v>82</v>
      </c>
      <c r="D29" s="13" t="s">
        <v>83</v>
      </c>
      <c r="E29" s="13" t="s">
        <v>84</v>
      </c>
      <c r="F29" s="13" t="s">
        <v>85</v>
      </c>
      <c r="G29" s="13" t="s">
        <v>86</v>
      </c>
      <c r="H29" s="13" t="s">
        <v>87</v>
      </c>
      <c r="I29" s="13" t="s">
        <v>154</v>
      </c>
      <c r="J29" s="13" t="s">
        <v>122</v>
      </c>
      <c r="K29" s="16" t="s">
        <v>39</v>
      </c>
      <c r="L29" s="16" t="s">
        <v>19</v>
      </c>
      <c r="M29" s="16" t="s">
        <v>38</v>
      </c>
      <c r="N29" s="16" t="s">
        <v>40</v>
      </c>
      <c r="O29" s="15" t="s">
        <v>143</v>
      </c>
    </row>
    <row r="30" spans="1:15" s="41" customFormat="1" ht="15.75">
      <c r="A30" s="36" t="s">
        <v>198</v>
      </c>
      <c r="B30" s="36" t="s">
        <v>33</v>
      </c>
      <c r="C30" s="36">
        <v>393</v>
      </c>
      <c r="D30" s="67">
        <v>413</v>
      </c>
      <c r="E30" s="36"/>
      <c r="F30" s="36">
        <v>372</v>
      </c>
      <c r="G30" s="36"/>
      <c r="H30" s="67">
        <v>446</v>
      </c>
      <c r="I30" s="67">
        <v>450</v>
      </c>
      <c r="J30" s="36">
        <v>393</v>
      </c>
      <c r="K30" s="36">
        <f>SUM(C30:J30)</f>
        <v>2467</v>
      </c>
      <c r="L30" s="36">
        <v>5</v>
      </c>
      <c r="M30" s="36">
        <v>3</v>
      </c>
      <c r="N30" s="36">
        <v>57</v>
      </c>
      <c r="O30" s="36">
        <v>2</v>
      </c>
    </row>
    <row r="31" spans="1:15" s="32" customFormat="1" ht="15.75">
      <c r="A31" s="26" t="s">
        <v>202</v>
      </c>
      <c r="B31" s="26" t="s">
        <v>21</v>
      </c>
      <c r="C31" s="87">
        <v>396</v>
      </c>
      <c r="D31" s="87">
        <v>396</v>
      </c>
      <c r="E31" s="26"/>
      <c r="F31" s="26">
        <v>371</v>
      </c>
      <c r="G31" s="26"/>
      <c r="H31" s="87">
        <v>435</v>
      </c>
      <c r="I31" s="26">
        <v>394</v>
      </c>
      <c r="J31" s="26">
        <v>384</v>
      </c>
      <c r="K31" s="26">
        <f>SUM(C31:J31)</f>
        <v>2376</v>
      </c>
      <c r="L31" s="26">
        <v>3</v>
      </c>
      <c r="M31" s="26">
        <v>5</v>
      </c>
      <c r="N31" s="26">
        <v>-61</v>
      </c>
      <c r="O31" s="26">
        <v>0</v>
      </c>
    </row>
    <row r="32" spans="1:15" s="41" customFormat="1" ht="15.75">
      <c r="A32" s="36" t="s">
        <v>204</v>
      </c>
      <c r="B32" s="36" t="s">
        <v>23</v>
      </c>
      <c r="C32" s="36">
        <v>400</v>
      </c>
      <c r="D32" s="36">
        <v>406</v>
      </c>
      <c r="E32" s="36">
        <v>405</v>
      </c>
      <c r="F32" s="36">
        <v>397</v>
      </c>
      <c r="G32" s="36"/>
      <c r="H32" s="67">
        <v>425</v>
      </c>
      <c r="I32" s="36"/>
      <c r="J32" s="36">
        <v>374</v>
      </c>
      <c r="K32" s="36">
        <f>SUM(C32:J32)</f>
        <v>2407</v>
      </c>
      <c r="L32" s="36">
        <v>1</v>
      </c>
      <c r="M32" s="36">
        <v>7</v>
      </c>
      <c r="N32" s="36">
        <v>-170</v>
      </c>
      <c r="O32" s="36">
        <v>0</v>
      </c>
    </row>
    <row r="33" spans="1:11" ht="15.75">
      <c r="A33" s="36" t="s">
        <v>205</v>
      </c>
      <c r="B33" s="1" t="s">
        <v>24</v>
      </c>
      <c r="K33" s="36">
        <f>SUM(C33:J33)</f>
        <v>0</v>
      </c>
    </row>
    <row r="34" spans="1:15" s="32" customFormat="1" ht="15.75">
      <c r="A34" s="26" t="s">
        <v>207</v>
      </c>
      <c r="B34" s="26" t="s">
        <v>17</v>
      </c>
      <c r="C34" s="26">
        <v>400</v>
      </c>
      <c r="D34" s="26">
        <v>401</v>
      </c>
      <c r="E34" s="26">
        <v>368</v>
      </c>
      <c r="F34" s="26">
        <v>372</v>
      </c>
      <c r="G34" s="26"/>
      <c r="H34" s="26">
        <v>397</v>
      </c>
      <c r="I34" s="87">
        <v>402</v>
      </c>
      <c r="J34" s="26"/>
      <c r="K34" s="26">
        <f>SUM(C34:J34)</f>
        <v>2340</v>
      </c>
      <c r="L34" s="26">
        <v>1</v>
      </c>
      <c r="M34" s="26">
        <v>7</v>
      </c>
      <c r="N34" s="26">
        <v>-211</v>
      </c>
      <c r="O34" s="26">
        <v>0</v>
      </c>
    </row>
    <row r="35" spans="1:15" s="41" customFormat="1" ht="15.75">
      <c r="A35" s="36" t="s">
        <v>208</v>
      </c>
      <c r="B35" s="36" t="s">
        <v>15</v>
      </c>
      <c r="C35" s="36">
        <v>381</v>
      </c>
      <c r="D35" s="67">
        <v>414</v>
      </c>
      <c r="E35" s="36"/>
      <c r="F35" s="36"/>
      <c r="G35" s="36">
        <v>363</v>
      </c>
      <c r="H35" s="67">
        <v>414</v>
      </c>
      <c r="I35" s="36">
        <v>401</v>
      </c>
      <c r="J35" s="36">
        <v>386</v>
      </c>
      <c r="K35" s="36">
        <f aca="true" t="shared" si="2" ref="K35:K44">SUM(C35:J35)</f>
        <v>2359</v>
      </c>
      <c r="L35" s="36">
        <v>2</v>
      </c>
      <c r="M35" s="36">
        <v>6</v>
      </c>
      <c r="N35" s="36">
        <f>K35-2533</f>
        <v>-174</v>
      </c>
      <c r="O35" s="36">
        <v>0</v>
      </c>
    </row>
    <row r="36" spans="1:15" s="32" customFormat="1" ht="15.75">
      <c r="A36" s="26" t="s">
        <v>209</v>
      </c>
      <c r="B36" s="26" t="s">
        <v>16</v>
      </c>
      <c r="C36" s="26">
        <v>394</v>
      </c>
      <c r="D36" s="87">
        <v>400</v>
      </c>
      <c r="E36" s="26">
        <v>353</v>
      </c>
      <c r="F36" s="26"/>
      <c r="G36" s="26"/>
      <c r="H36" s="87">
        <v>416</v>
      </c>
      <c r="I36" s="26">
        <v>399</v>
      </c>
      <c r="J36" s="26">
        <v>372</v>
      </c>
      <c r="K36" s="26">
        <f t="shared" si="2"/>
        <v>2334</v>
      </c>
      <c r="L36" s="26">
        <v>2</v>
      </c>
      <c r="M36" s="26">
        <v>6</v>
      </c>
      <c r="N36" s="26">
        <v>-203</v>
      </c>
      <c r="O36" s="26">
        <v>0</v>
      </c>
    </row>
    <row r="37" spans="1:15" s="41" customFormat="1" ht="15.75">
      <c r="A37" s="36" t="s">
        <v>210</v>
      </c>
      <c r="B37" s="36" t="s">
        <v>28</v>
      </c>
      <c r="C37" s="36">
        <v>382</v>
      </c>
      <c r="D37" s="36">
        <v>394</v>
      </c>
      <c r="E37" s="36">
        <v>396</v>
      </c>
      <c r="F37" s="67">
        <v>419</v>
      </c>
      <c r="G37" s="36"/>
      <c r="H37" s="67">
        <v>441</v>
      </c>
      <c r="I37" s="36"/>
      <c r="J37" s="36">
        <v>375</v>
      </c>
      <c r="K37" s="36">
        <f t="shared" si="2"/>
        <v>2407</v>
      </c>
      <c r="L37" s="36">
        <v>2</v>
      </c>
      <c r="M37" s="36">
        <v>6</v>
      </c>
      <c r="N37" s="36">
        <f>K37-2585</f>
        <v>-178</v>
      </c>
      <c r="O37" s="36">
        <v>0</v>
      </c>
    </row>
    <row r="38" spans="1:15" s="32" customFormat="1" ht="15.75">
      <c r="A38" s="26" t="s">
        <v>211</v>
      </c>
      <c r="B38" s="26" t="s">
        <v>20</v>
      </c>
      <c r="C38" s="26">
        <v>181</v>
      </c>
      <c r="D38" s="87">
        <v>416</v>
      </c>
      <c r="E38" s="87">
        <v>437</v>
      </c>
      <c r="F38" s="26">
        <v>381</v>
      </c>
      <c r="G38" s="26">
        <v>177</v>
      </c>
      <c r="H38" s="26">
        <v>397</v>
      </c>
      <c r="I38" s="87">
        <v>429</v>
      </c>
      <c r="J38" s="26"/>
      <c r="K38" s="26">
        <f t="shared" si="2"/>
        <v>2418</v>
      </c>
      <c r="L38" s="26">
        <v>3</v>
      </c>
      <c r="M38" s="26">
        <v>5</v>
      </c>
      <c r="N38" s="26">
        <f>K38-2479</f>
        <v>-61</v>
      </c>
      <c r="O38" s="26">
        <v>0</v>
      </c>
    </row>
    <row r="39" spans="1:15" s="41" customFormat="1" ht="15.75">
      <c r="A39" s="36" t="s">
        <v>212</v>
      </c>
      <c r="B39" s="36" t="s">
        <v>27</v>
      </c>
      <c r="C39" s="36"/>
      <c r="D39" s="36"/>
      <c r="E39" s="36">
        <v>404</v>
      </c>
      <c r="F39" s="67">
        <v>412</v>
      </c>
      <c r="G39" s="36">
        <v>384</v>
      </c>
      <c r="H39" s="67">
        <v>432</v>
      </c>
      <c r="I39" s="36">
        <v>402</v>
      </c>
      <c r="J39" s="36">
        <v>361</v>
      </c>
      <c r="K39" s="36">
        <f t="shared" si="2"/>
        <v>2395</v>
      </c>
      <c r="L39" s="36">
        <v>2</v>
      </c>
      <c r="M39" s="36">
        <v>6</v>
      </c>
      <c r="N39" s="36">
        <v>-116</v>
      </c>
      <c r="O39" s="36">
        <v>0</v>
      </c>
    </row>
    <row r="40" spans="1:15" s="32" customFormat="1" ht="15.75">
      <c r="A40" s="26" t="s">
        <v>213</v>
      </c>
      <c r="B40" s="26" t="s">
        <v>26</v>
      </c>
      <c r="C40" s="26">
        <v>393</v>
      </c>
      <c r="D40" s="26"/>
      <c r="E40" s="26">
        <v>393</v>
      </c>
      <c r="F40" s="26">
        <v>350</v>
      </c>
      <c r="G40" s="26"/>
      <c r="H40" s="87">
        <v>417</v>
      </c>
      <c r="I40" s="87">
        <v>413</v>
      </c>
      <c r="J40" s="26">
        <v>390</v>
      </c>
      <c r="K40" s="26">
        <f t="shared" si="2"/>
        <v>2356</v>
      </c>
      <c r="L40" s="26">
        <v>2</v>
      </c>
      <c r="M40" s="26">
        <v>6</v>
      </c>
      <c r="N40" s="26">
        <v>-149</v>
      </c>
      <c r="O40" s="26">
        <v>0</v>
      </c>
    </row>
    <row r="41" spans="1:15" s="41" customFormat="1" ht="15.75">
      <c r="A41" s="36" t="s">
        <v>214</v>
      </c>
      <c r="B41" s="36" t="s">
        <v>18</v>
      </c>
      <c r="C41" s="36">
        <v>372</v>
      </c>
      <c r="D41" s="67">
        <v>404</v>
      </c>
      <c r="E41" s="36">
        <v>394</v>
      </c>
      <c r="F41" s="36"/>
      <c r="G41" s="36"/>
      <c r="H41" s="67">
        <v>410</v>
      </c>
      <c r="I41" s="36">
        <v>397</v>
      </c>
      <c r="J41" s="36">
        <v>387</v>
      </c>
      <c r="K41" s="36">
        <f t="shared" si="2"/>
        <v>2364</v>
      </c>
      <c r="L41" s="36">
        <v>2</v>
      </c>
      <c r="M41" s="36">
        <v>6</v>
      </c>
      <c r="N41" s="36">
        <v>-105</v>
      </c>
      <c r="O41" s="36">
        <v>0</v>
      </c>
    </row>
    <row r="42" spans="1:15" s="32" customFormat="1" ht="15.75">
      <c r="A42" s="26" t="s">
        <v>215</v>
      </c>
      <c r="B42" s="26" t="s">
        <v>31</v>
      </c>
      <c r="C42" s="26">
        <v>382</v>
      </c>
      <c r="D42" s="26">
        <v>385</v>
      </c>
      <c r="E42" s="26">
        <v>376</v>
      </c>
      <c r="F42" s="26"/>
      <c r="G42" s="26">
        <v>390</v>
      </c>
      <c r="H42" s="26"/>
      <c r="I42" s="26">
        <v>398</v>
      </c>
      <c r="J42" s="87">
        <v>435</v>
      </c>
      <c r="K42" s="26">
        <f t="shared" si="2"/>
        <v>2366</v>
      </c>
      <c r="L42" s="26">
        <v>1</v>
      </c>
      <c r="M42" s="26">
        <v>7</v>
      </c>
      <c r="N42" s="26">
        <v>-209</v>
      </c>
      <c r="O42" s="26">
        <v>0</v>
      </c>
    </row>
    <row r="43" spans="1:15" s="41" customFormat="1" ht="15.75">
      <c r="A43" s="36" t="s">
        <v>216</v>
      </c>
      <c r="B43" s="36" t="s">
        <v>29</v>
      </c>
      <c r="C43" s="36">
        <v>408</v>
      </c>
      <c r="D43" s="67">
        <v>434</v>
      </c>
      <c r="E43" s="36"/>
      <c r="F43" s="36">
        <v>398</v>
      </c>
      <c r="G43" s="67">
        <v>443</v>
      </c>
      <c r="H43" s="36"/>
      <c r="I43" s="36">
        <v>409</v>
      </c>
      <c r="J43" s="36">
        <v>368</v>
      </c>
      <c r="K43" s="36">
        <f t="shared" si="2"/>
        <v>2460</v>
      </c>
      <c r="L43" s="36">
        <v>2</v>
      </c>
      <c r="M43" s="36">
        <v>6</v>
      </c>
      <c r="N43" s="36">
        <v>-139</v>
      </c>
      <c r="O43" s="36">
        <v>0</v>
      </c>
    </row>
    <row r="44" spans="1:15" s="32" customFormat="1" ht="16.5" thickBot="1">
      <c r="A44" s="26" t="s">
        <v>217</v>
      </c>
      <c r="B44" s="26" t="s">
        <v>25</v>
      </c>
      <c r="C44" s="26">
        <v>377</v>
      </c>
      <c r="D44" s="87">
        <v>394</v>
      </c>
      <c r="E44" s="26">
        <v>382</v>
      </c>
      <c r="F44" s="26">
        <v>383</v>
      </c>
      <c r="G44" s="87">
        <v>415</v>
      </c>
      <c r="H44" s="26"/>
      <c r="I44" s="87">
        <v>406</v>
      </c>
      <c r="J44" s="26"/>
      <c r="K44" s="26">
        <f t="shared" si="2"/>
        <v>2357</v>
      </c>
      <c r="L44" s="35">
        <v>3</v>
      </c>
      <c r="M44" s="35">
        <v>5</v>
      </c>
      <c r="N44" s="35">
        <v>-6</v>
      </c>
      <c r="O44" s="35">
        <v>0</v>
      </c>
    </row>
    <row r="45" spans="12:15" ht="16.5" thickTop="1">
      <c r="L45" s="1">
        <f>SUM(L30:L44)</f>
        <v>31</v>
      </c>
      <c r="M45" s="1">
        <f>SUM(M30:M44)</f>
        <v>81</v>
      </c>
      <c r="N45" s="1">
        <f>SUM(N30:N44)</f>
        <v>-1725</v>
      </c>
      <c r="O45" s="1">
        <f>SUM(O30:O44)</f>
        <v>2</v>
      </c>
    </row>
  </sheetData>
  <mergeCells count="9">
    <mergeCell ref="L25:M25"/>
    <mergeCell ref="I24:J24"/>
    <mergeCell ref="C23:D23"/>
    <mergeCell ref="C24:D24"/>
    <mergeCell ref="L24:M24"/>
    <mergeCell ref="C1:J1"/>
    <mergeCell ref="L1:M1"/>
    <mergeCell ref="C22:D22"/>
    <mergeCell ref="L19:M19"/>
  </mergeCells>
  <printOptions/>
  <pageMargins left="0.75" right="0.75" top="1" bottom="1" header="0.5" footer="0.5"/>
  <pageSetup orientation="portrait" paperSize="9"/>
  <ignoredErrors>
    <ignoredError sqref="D19 I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S45"/>
  <sheetViews>
    <sheetView zoomScale="89" zoomScaleNormal="89" workbookViewId="0" topLeftCell="A22">
      <selection activeCell="P45" sqref="P45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6" width="9.125" style="1" customWidth="1"/>
    <col min="7" max="7" width="12.00390625" style="1" customWidth="1"/>
    <col min="8" max="8" width="10.375" style="1" bestFit="1" customWidth="1"/>
    <col min="9" max="10" width="9.125" style="1" customWidth="1"/>
    <col min="11" max="11" width="11.375" style="1" customWidth="1"/>
    <col min="12" max="12" width="18.2539062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00390625" style="1" customWidth="1"/>
    <col min="18" max="18" width="15.75390625" style="0" bestFit="1" customWidth="1"/>
  </cols>
  <sheetData>
    <row r="1" spans="3:19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M1" s="118" t="s">
        <v>37</v>
      </c>
      <c r="N1" s="118"/>
      <c r="Q1" s="2"/>
      <c r="R1" s="2"/>
      <c r="S1" s="2"/>
    </row>
    <row r="2" spans="2:16" ht="34.5" customHeight="1" thickBot="1">
      <c r="B2" s="3" t="s">
        <v>30</v>
      </c>
      <c r="C2" s="13" t="s">
        <v>107</v>
      </c>
      <c r="D2" s="13" t="s">
        <v>108</v>
      </c>
      <c r="E2" s="13" t="s">
        <v>109</v>
      </c>
      <c r="F2" s="13" t="s">
        <v>110</v>
      </c>
      <c r="G2" s="13" t="s">
        <v>111</v>
      </c>
      <c r="H2" s="13" t="s">
        <v>127</v>
      </c>
      <c r="I2" s="13" t="s">
        <v>126</v>
      </c>
      <c r="J2" s="13" t="s">
        <v>165</v>
      </c>
      <c r="K2" s="13" t="s">
        <v>146</v>
      </c>
      <c r="L2" s="16" t="s">
        <v>39</v>
      </c>
      <c r="M2" s="16" t="s">
        <v>25</v>
      </c>
      <c r="N2" s="16" t="s">
        <v>38</v>
      </c>
      <c r="O2" s="16" t="s">
        <v>40</v>
      </c>
      <c r="P2" s="15" t="s">
        <v>143</v>
      </c>
    </row>
    <row r="3" spans="1:16" s="41" customFormat="1" ht="15.75">
      <c r="A3" s="36" t="s">
        <v>0</v>
      </c>
      <c r="B3" s="36" t="s">
        <v>26</v>
      </c>
      <c r="C3" s="64">
        <v>382</v>
      </c>
      <c r="D3" s="59"/>
      <c r="E3" s="64">
        <v>375</v>
      </c>
      <c r="F3" s="64"/>
      <c r="G3" s="59">
        <v>374</v>
      </c>
      <c r="H3" s="59">
        <v>373</v>
      </c>
      <c r="I3" s="72">
        <v>405</v>
      </c>
      <c r="J3" s="59">
        <v>374</v>
      </c>
      <c r="K3" s="54"/>
      <c r="L3" s="39">
        <f>SUM(C3:K3)</f>
        <v>2283</v>
      </c>
      <c r="M3" s="36">
        <v>1</v>
      </c>
      <c r="N3" s="36">
        <v>7</v>
      </c>
      <c r="O3" s="36">
        <v>-315</v>
      </c>
      <c r="P3" s="36">
        <v>0</v>
      </c>
    </row>
    <row r="4" spans="1:16" s="41" customFormat="1" ht="15.75">
      <c r="A4" s="36" t="s">
        <v>1</v>
      </c>
      <c r="B4" s="36" t="s">
        <v>27</v>
      </c>
      <c r="C4" s="64">
        <v>370</v>
      </c>
      <c r="D4" s="59">
        <v>362</v>
      </c>
      <c r="E4" s="64"/>
      <c r="F4" s="64">
        <v>417</v>
      </c>
      <c r="G4" s="59">
        <v>399</v>
      </c>
      <c r="H4" s="59"/>
      <c r="I4" s="59">
        <v>365</v>
      </c>
      <c r="J4" s="59"/>
      <c r="K4" s="54">
        <v>352</v>
      </c>
      <c r="L4" s="39">
        <f aca="true" t="shared" si="0" ref="L4:L17">SUM(C4:K4)</f>
        <v>2265</v>
      </c>
      <c r="M4" s="36">
        <v>0</v>
      </c>
      <c r="N4" s="36">
        <v>8</v>
      </c>
      <c r="O4" s="36">
        <f>2265-2687</f>
        <v>-422</v>
      </c>
      <c r="P4" s="36">
        <v>0</v>
      </c>
    </row>
    <row r="5" spans="1:16" s="32" customFormat="1" ht="15.75">
      <c r="A5" s="26" t="s">
        <v>2</v>
      </c>
      <c r="B5" s="26" t="s">
        <v>34</v>
      </c>
      <c r="C5" s="58">
        <v>353</v>
      </c>
      <c r="D5" s="58"/>
      <c r="E5" s="62"/>
      <c r="F5" s="62">
        <v>372</v>
      </c>
      <c r="G5" s="66">
        <v>390</v>
      </c>
      <c r="H5" s="58">
        <v>384</v>
      </c>
      <c r="I5" s="58">
        <v>378</v>
      </c>
      <c r="J5" s="58">
        <v>373</v>
      </c>
      <c r="K5" s="49"/>
      <c r="L5" s="30">
        <f t="shared" si="0"/>
        <v>2250</v>
      </c>
      <c r="M5" s="26">
        <v>1</v>
      </c>
      <c r="N5" s="26">
        <v>7</v>
      </c>
      <c r="O5" s="26">
        <v>-166</v>
      </c>
      <c r="P5" s="26">
        <v>0</v>
      </c>
    </row>
    <row r="6" spans="1:16" s="41" customFormat="1" ht="15.75">
      <c r="A6" s="36" t="s">
        <v>3</v>
      </c>
      <c r="B6" s="36" t="s">
        <v>28</v>
      </c>
      <c r="C6" s="64">
        <v>199</v>
      </c>
      <c r="D6" s="59">
        <v>389</v>
      </c>
      <c r="E6" s="64">
        <v>386</v>
      </c>
      <c r="F6" s="64"/>
      <c r="G6" s="59">
        <v>398</v>
      </c>
      <c r="H6" s="59">
        <v>380</v>
      </c>
      <c r="I6" s="59"/>
      <c r="J6" s="72">
        <v>434</v>
      </c>
      <c r="K6" s="54">
        <v>159</v>
      </c>
      <c r="L6" s="39">
        <f t="shared" si="0"/>
        <v>2345</v>
      </c>
      <c r="M6" s="36">
        <v>1</v>
      </c>
      <c r="N6" s="36">
        <v>7</v>
      </c>
      <c r="O6" s="36">
        <v>-224</v>
      </c>
      <c r="P6" s="36">
        <v>0</v>
      </c>
    </row>
    <row r="7" spans="1:16" s="32" customFormat="1" ht="15.75">
      <c r="A7" s="26" t="s">
        <v>4</v>
      </c>
      <c r="B7" s="26" t="s">
        <v>16</v>
      </c>
      <c r="C7" s="61">
        <v>392</v>
      </c>
      <c r="D7" s="61"/>
      <c r="E7" s="62">
        <v>387</v>
      </c>
      <c r="F7" s="62">
        <v>362</v>
      </c>
      <c r="G7" s="83">
        <v>429</v>
      </c>
      <c r="H7" s="61"/>
      <c r="I7" s="61">
        <v>395</v>
      </c>
      <c r="J7" s="61">
        <v>335</v>
      </c>
      <c r="K7" s="49"/>
      <c r="L7" s="30">
        <f t="shared" si="0"/>
        <v>2300</v>
      </c>
      <c r="M7" s="26">
        <v>1</v>
      </c>
      <c r="N7" s="26">
        <v>7</v>
      </c>
      <c r="O7" s="26">
        <v>-229</v>
      </c>
      <c r="P7" s="26">
        <v>0</v>
      </c>
    </row>
    <row r="8" spans="1:16" s="41" customFormat="1" ht="15.75">
      <c r="A8" s="36" t="s">
        <v>5</v>
      </c>
      <c r="B8" s="36" t="s">
        <v>15</v>
      </c>
      <c r="C8" s="64">
        <v>363</v>
      </c>
      <c r="D8" s="59">
        <v>164</v>
      </c>
      <c r="E8" s="64">
        <v>406</v>
      </c>
      <c r="F8" s="64">
        <v>209</v>
      </c>
      <c r="G8" s="72">
        <v>407</v>
      </c>
      <c r="H8" s="59">
        <v>384</v>
      </c>
      <c r="I8" s="59">
        <v>385</v>
      </c>
      <c r="J8" s="59"/>
      <c r="K8" s="54"/>
      <c r="L8" s="39">
        <f t="shared" si="0"/>
        <v>2318</v>
      </c>
      <c r="M8" s="36">
        <v>1</v>
      </c>
      <c r="N8" s="36">
        <v>7</v>
      </c>
      <c r="O8" s="36">
        <v>-221</v>
      </c>
      <c r="P8" s="36">
        <v>0</v>
      </c>
    </row>
    <row r="9" spans="1:16" s="32" customFormat="1" ht="15.75">
      <c r="A9" s="26" t="s">
        <v>6</v>
      </c>
      <c r="B9" s="26" t="s">
        <v>17</v>
      </c>
      <c r="C9" s="58"/>
      <c r="D9" s="58"/>
      <c r="E9" s="62">
        <v>401</v>
      </c>
      <c r="F9" s="62">
        <v>386</v>
      </c>
      <c r="G9" s="58">
        <v>411</v>
      </c>
      <c r="H9" s="66">
        <v>420</v>
      </c>
      <c r="I9" s="58">
        <v>389</v>
      </c>
      <c r="J9" s="66">
        <v>416</v>
      </c>
      <c r="K9" s="49"/>
      <c r="L9" s="30">
        <f t="shared" si="0"/>
        <v>2423</v>
      </c>
      <c r="M9" s="26">
        <v>2</v>
      </c>
      <c r="N9" s="26">
        <v>6</v>
      </c>
      <c r="O9" s="26">
        <v>-181</v>
      </c>
      <c r="P9" s="26">
        <v>0</v>
      </c>
    </row>
    <row r="10" spans="1:16" s="57" customFormat="1" ht="15.75">
      <c r="A10" s="1" t="s">
        <v>7</v>
      </c>
      <c r="B10" s="14" t="s">
        <v>24</v>
      </c>
      <c r="C10" s="60"/>
      <c r="D10" s="60"/>
      <c r="E10" s="65"/>
      <c r="F10" s="65"/>
      <c r="G10" s="60"/>
      <c r="H10" s="60"/>
      <c r="I10" s="60"/>
      <c r="J10" s="60"/>
      <c r="K10" s="18"/>
      <c r="L10" s="7">
        <f t="shared" si="0"/>
        <v>0</v>
      </c>
      <c r="M10" s="1"/>
      <c r="N10" s="1"/>
      <c r="O10" s="1"/>
      <c r="P10" s="1"/>
    </row>
    <row r="11" spans="1:16" s="32" customFormat="1" ht="15.75">
      <c r="A11" s="26" t="s">
        <v>8</v>
      </c>
      <c r="B11" s="26" t="s">
        <v>19</v>
      </c>
      <c r="C11" s="66">
        <v>414</v>
      </c>
      <c r="D11" s="58"/>
      <c r="E11" s="62">
        <v>373</v>
      </c>
      <c r="F11" s="62"/>
      <c r="G11" s="58">
        <v>386</v>
      </c>
      <c r="H11" s="66">
        <v>388</v>
      </c>
      <c r="I11" s="58"/>
      <c r="J11" s="66">
        <v>401</v>
      </c>
      <c r="K11" s="49">
        <v>330</v>
      </c>
      <c r="L11" s="30">
        <f t="shared" si="0"/>
        <v>2292</v>
      </c>
      <c r="M11" s="26">
        <v>3</v>
      </c>
      <c r="N11" s="26">
        <v>5</v>
      </c>
      <c r="O11" s="30">
        <f>L11-2330</f>
        <v>-38</v>
      </c>
      <c r="P11" s="26">
        <v>0</v>
      </c>
    </row>
    <row r="12" spans="1:16" s="41" customFormat="1" ht="15.75">
      <c r="A12" s="36" t="s">
        <v>9</v>
      </c>
      <c r="B12" s="36" t="s">
        <v>21</v>
      </c>
      <c r="C12" s="72">
        <v>448</v>
      </c>
      <c r="D12" s="59"/>
      <c r="E12" s="64">
        <v>387</v>
      </c>
      <c r="F12" s="64"/>
      <c r="G12" s="59">
        <v>404</v>
      </c>
      <c r="H12" s="59">
        <v>386</v>
      </c>
      <c r="I12" s="72">
        <v>432</v>
      </c>
      <c r="J12" s="59">
        <v>388</v>
      </c>
      <c r="K12" s="54"/>
      <c r="L12" s="39">
        <f t="shared" si="0"/>
        <v>2445</v>
      </c>
      <c r="M12" s="36">
        <v>4</v>
      </c>
      <c r="N12" s="36">
        <v>4</v>
      </c>
      <c r="O12" s="39">
        <f>L12-2421</f>
        <v>24</v>
      </c>
      <c r="P12" s="36">
        <v>1</v>
      </c>
    </row>
    <row r="13" spans="1:16" s="32" customFormat="1" ht="15.75">
      <c r="A13" s="26" t="s">
        <v>10</v>
      </c>
      <c r="B13" s="26" t="s">
        <v>36</v>
      </c>
      <c r="C13" s="58">
        <v>379</v>
      </c>
      <c r="D13" s="58"/>
      <c r="E13" s="62">
        <v>350</v>
      </c>
      <c r="F13" s="66">
        <v>427</v>
      </c>
      <c r="G13" s="58">
        <v>389</v>
      </c>
      <c r="H13" s="58"/>
      <c r="I13" s="58">
        <v>365</v>
      </c>
      <c r="J13" s="66">
        <v>391</v>
      </c>
      <c r="K13" s="49"/>
      <c r="L13" s="30">
        <f t="shared" si="0"/>
        <v>2301</v>
      </c>
      <c r="M13" s="26">
        <v>2</v>
      </c>
      <c r="N13" s="26">
        <v>6</v>
      </c>
      <c r="O13" s="26">
        <v>-131</v>
      </c>
      <c r="P13" s="26">
        <v>0</v>
      </c>
    </row>
    <row r="14" spans="1:16" s="32" customFormat="1" ht="15.75">
      <c r="A14" s="26" t="s">
        <v>11</v>
      </c>
      <c r="B14" s="26" t="s">
        <v>23</v>
      </c>
      <c r="C14" s="66">
        <v>395</v>
      </c>
      <c r="D14" s="58"/>
      <c r="E14" s="62">
        <v>367</v>
      </c>
      <c r="F14" s="62"/>
      <c r="G14" s="58">
        <v>394</v>
      </c>
      <c r="H14" s="58">
        <v>382</v>
      </c>
      <c r="I14" s="66">
        <v>401</v>
      </c>
      <c r="J14" s="58">
        <v>383</v>
      </c>
      <c r="K14" s="49"/>
      <c r="L14" s="30">
        <f t="shared" si="0"/>
        <v>2322</v>
      </c>
      <c r="M14" s="26">
        <v>2</v>
      </c>
      <c r="N14" s="26">
        <v>6</v>
      </c>
      <c r="O14" s="26">
        <v>-185</v>
      </c>
      <c r="P14" s="26">
        <v>0</v>
      </c>
    </row>
    <row r="15" spans="1:16" s="41" customFormat="1" ht="15.75">
      <c r="A15" s="36" t="s">
        <v>12</v>
      </c>
      <c r="B15" s="36" t="s">
        <v>29</v>
      </c>
      <c r="C15" s="64">
        <v>385</v>
      </c>
      <c r="D15" s="59"/>
      <c r="E15" s="64">
        <v>387</v>
      </c>
      <c r="F15" s="64"/>
      <c r="G15" s="59">
        <v>402</v>
      </c>
      <c r="H15" s="59">
        <v>388</v>
      </c>
      <c r="I15" s="59"/>
      <c r="J15" s="72">
        <v>412</v>
      </c>
      <c r="K15" s="54">
        <v>368</v>
      </c>
      <c r="L15" s="39">
        <f t="shared" si="0"/>
        <v>2342</v>
      </c>
      <c r="M15" s="36">
        <v>1</v>
      </c>
      <c r="N15" s="36">
        <v>7</v>
      </c>
      <c r="O15" s="39">
        <f>L15-2527</f>
        <v>-185</v>
      </c>
      <c r="P15" s="36">
        <v>0</v>
      </c>
    </row>
    <row r="16" spans="1:16" s="32" customFormat="1" ht="15.75">
      <c r="A16" s="26" t="s">
        <v>13</v>
      </c>
      <c r="B16" s="26" t="s">
        <v>31</v>
      </c>
      <c r="C16" s="66">
        <v>417</v>
      </c>
      <c r="D16" s="58"/>
      <c r="E16" s="62">
        <v>368</v>
      </c>
      <c r="F16" s="62"/>
      <c r="G16" s="58">
        <v>407</v>
      </c>
      <c r="H16" s="58">
        <v>376</v>
      </c>
      <c r="I16" s="58">
        <v>385</v>
      </c>
      <c r="J16" s="58">
        <v>388</v>
      </c>
      <c r="K16" s="49"/>
      <c r="L16" s="30">
        <f t="shared" si="0"/>
        <v>2341</v>
      </c>
      <c r="M16" s="26">
        <v>1</v>
      </c>
      <c r="N16" s="26">
        <v>7</v>
      </c>
      <c r="O16" s="30">
        <v>-173</v>
      </c>
      <c r="P16" s="26">
        <v>0</v>
      </c>
    </row>
    <row r="17" spans="1:16" s="41" customFormat="1" ht="16.5" thickBot="1">
      <c r="A17" s="36" t="s">
        <v>14</v>
      </c>
      <c r="B17" s="36" t="s">
        <v>18</v>
      </c>
      <c r="C17" s="63">
        <v>412</v>
      </c>
      <c r="D17" s="63"/>
      <c r="E17" s="63"/>
      <c r="F17" s="63">
        <v>374</v>
      </c>
      <c r="G17" s="97">
        <v>433</v>
      </c>
      <c r="H17" s="63"/>
      <c r="I17" s="63">
        <v>362</v>
      </c>
      <c r="J17" s="97">
        <v>417</v>
      </c>
      <c r="K17" s="51">
        <v>363</v>
      </c>
      <c r="L17" s="52">
        <f t="shared" si="0"/>
        <v>2361</v>
      </c>
      <c r="M17" s="53">
        <v>2</v>
      </c>
      <c r="N17" s="53">
        <v>6</v>
      </c>
      <c r="O17" s="56">
        <f>L17-2531</f>
        <v>-170</v>
      </c>
      <c r="P17" s="53">
        <v>0</v>
      </c>
    </row>
    <row r="18" spans="3:11" ht="16.5" thickTop="1">
      <c r="C18" s="7">
        <f>SUM(C3:C17)</f>
        <v>4909</v>
      </c>
      <c r="D18" s="7">
        <f aca="true" t="shared" si="1" ref="D18:K18">SUM(D3:D17)</f>
        <v>915</v>
      </c>
      <c r="E18" s="7">
        <f>SUM(E3:E17)</f>
        <v>4187</v>
      </c>
      <c r="F18" s="7">
        <f t="shared" si="1"/>
        <v>2547</v>
      </c>
      <c r="G18" s="7">
        <f t="shared" si="1"/>
        <v>5623</v>
      </c>
      <c r="H18" s="7">
        <f t="shared" si="1"/>
        <v>3861</v>
      </c>
      <c r="I18" s="7">
        <f t="shared" si="1"/>
        <v>4262</v>
      </c>
      <c r="J18" s="7">
        <f>SUM(J3:J17)</f>
        <v>4712</v>
      </c>
      <c r="K18" s="7">
        <f t="shared" si="1"/>
        <v>1572</v>
      </c>
    </row>
    <row r="19" spans="2:18" ht="35.25" customHeight="1">
      <c r="B19" s="16" t="s">
        <v>163</v>
      </c>
      <c r="C19" s="22">
        <f>C18/12.5</f>
        <v>392.72</v>
      </c>
      <c r="D19" s="22">
        <f>D18/2.5</f>
        <v>366</v>
      </c>
      <c r="E19" s="22">
        <f>E18/11</f>
        <v>380.6363636363636</v>
      </c>
      <c r="F19" s="22">
        <f>F18/6.5</f>
        <v>391.84615384615387</v>
      </c>
      <c r="G19" s="22">
        <f>G18/14</f>
        <v>401.64285714285717</v>
      </c>
      <c r="H19" s="22">
        <f>H18/10</f>
        <v>386.1</v>
      </c>
      <c r="I19" s="22">
        <f>I18/11</f>
        <v>387.45454545454544</v>
      </c>
      <c r="J19" s="22">
        <f>J18/12</f>
        <v>392.6666666666667</v>
      </c>
      <c r="K19" s="22">
        <f>K18/4.5</f>
        <v>349.3333333333333</v>
      </c>
      <c r="L19" s="3" t="s">
        <v>39</v>
      </c>
      <c r="M19" s="118" t="s">
        <v>144</v>
      </c>
      <c r="N19" s="118"/>
      <c r="O19" s="3" t="s">
        <v>40</v>
      </c>
      <c r="P19" s="15" t="s">
        <v>145</v>
      </c>
      <c r="R19" s="19" t="s">
        <v>159</v>
      </c>
    </row>
    <row r="20" spans="12:18" ht="15.75">
      <c r="L20" s="7">
        <f>SUM(L3:L17)</f>
        <v>32588</v>
      </c>
      <c r="M20" s="1">
        <f>SUM(M3:M17)</f>
        <v>22</v>
      </c>
      <c r="N20" s="1">
        <f>SUM(N3:N17)</f>
        <v>90</v>
      </c>
      <c r="O20" s="1">
        <f>SUM(O3:O17)</f>
        <v>-2616</v>
      </c>
      <c r="P20" s="1">
        <f>SUM(P3:P17)</f>
        <v>1</v>
      </c>
      <c r="R20" s="2">
        <f>M20-N20</f>
        <v>-68</v>
      </c>
    </row>
    <row r="22" spans="3:13" ht="15.75">
      <c r="C22" s="119" t="s">
        <v>52</v>
      </c>
      <c r="D22" s="119"/>
      <c r="L22" s="1" t="s">
        <v>164</v>
      </c>
      <c r="M22" s="24">
        <f>SUM(L3:L17)/14</f>
        <v>2327.714285714286</v>
      </c>
    </row>
    <row r="23" spans="3:4" ht="15.75">
      <c r="C23" s="116" t="s">
        <v>168</v>
      </c>
      <c r="D23" s="116"/>
    </row>
    <row r="24" spans="3:12" ht="15.75">
      <c r="C24" s="117" t="s">
        <v>169</v>
      </c>
      <c r="D24" s="117"/>
      <c r="I24" s="115" t="s">
        <v>199</v>
      </c>
      <c r="J24" s="115"/>
      <c r="K24" s="1" t="s">
        <v>200</v>
      </c>
      <c r="L24" s="19" t="s">
        <v>159</v>
      </c>
    </row>
    <row r="25" spans="9:12" ht="15.75">
      <c r="I25" s="1">
        <f>M20+M45</f>
        <v>52</v>
      </c>
      <c r="J25" s="1">
        <f>N20+N45</f>
        <v>172</v>
      </c>
      <c r="K25" s="1">
        <f>P20+P45</f>
        <v>5</v>
      </c>
      <c r="L25" s="1">
        <f>I25-J25</f>
        <v>-120</v>
      </c>
    </row>
    <row r="26" spans="1:5" ht="15.75">
      <c r="A26" s="92" t="s">
        <v>183</v>
      </c>
      <c r="B26" s="86"/>
      <c r="C26" s="73" t="s">
        <v>190</v>
      </c>
      <c r="D26" s="86" t="s">
        <v>184</v>
      </c>
      <c r="E26" s="93" t="s">
        <v>182</v>
      </c>
    </row>
    <row r="27" spans="1:5" ht="15.75">
      <c r="A27" s="92"/>
      <c r="B27" s="86"/>
      <c r="C27" s="73"/>
      <c r="D27" s="86"/>
      <c r="E27" s="93"/>
    </row>
    <row r="28" ht="15.75">
      <c r="F28" s="86"/>
    </row>
    <row r="29" spans="2:16" ht="34.5" customHeight="1" thickBot="1">
      <c r="B29" s="3" t="s">
        <v>30</v>
      </c>
      <c r="C29" s="13" t="s">
        <v>107</v>
      </c>
      <c r="D29" s="13" t="s">
        <v>108</v>
      </c>
      <c r="E29" s="13" t="s">
        <v>109</v>
      </c>
      <c r="F29" s="13" t="s">
        <v>110</v>
      </c>
      <c r="G29" s="13" t="s">
        <v>111</v>
      </c>
      <c r="H29" s="13" t="s">
        <v>127</v>
      </c>
      <c r="I29" s="13" t="s">
        <v>126</v>
      </c>
      <c r="J29" s="13" t="s">
        <v>165</v>
      </c>
      <c r="K29" s="13" t="s">
        <v>146</v>
      </c>
      <c r="L29" s="16" t="s">
        <v>39</v>
      </c>
      <c r="M29" s="16" t="s">
        <v>25</v>
      </c>
      <c r="N29" s="16" t="s">
        <v>38</v>
      </c>
      <c r="O29" s="16" t="s">
        <v>40</v>
      </c>
      <c r="P29" s="15" t="s">
        <v>143</v>
      </c>
    </row>
    <row r="30" spans="1:12" ht="15.75">
      <c r="A30" s="1" t="s">
        <v>198</v>
      </c>
      <c r="B30" s="1" t="s">
        <v>24</v>
      </c>
      <c r="L30" s="1">
        <f>SUM(C30:K30)</f>
        <v>0</v>
      </c>
    </row>
    <row r="31" spans="1:16" s="41" customFormat="1" ht="15.75">
      <c r="A31" s="36" t="s">
        <v>202</v>
      </c>
      <c r="B31" s="36" t="s">
        <v>17</v>
      </c>
      <c r="C31" s="67">
        <v>434</v>
      </c>
      <c r="D31" s="36"/>
      <c r="E31" s="36">
        <v>378</v>
      </c>
      <c r="F31" s="36">
        <v>405</v>
      </c>
      <c r="G31" s="67">
        <v>424</v>
      </c>
      <c r="H31" s="36">
        <v>367</v>
      </c>
      <c r="I31" s="36"/>
      <c r="J31" s="67">
        <v>449</v>
      </c>
      <c r="K31" s="36"/>
      <c r="L31" s="36">
        <f>SUM(C31:K31)</f>
        <v>2457</v>
      </c>
      <c r="M31" s="36">
        <v>3</v>
      </c>
      <c r="N31" s="36">
        <v>5</v>
      </c>
      <c r="O31" s="36">
        <v>-59</v>
      </c>
      <c r="P31" s="36">
        <v>0</v>
      </c>
    </row>
    <row r="32" spans="1:16" s="32" customFormat="1" ht="15.75">
      <c r="A32" s="26" t="s">
        <v>204</v>
      </c>
      <c r="B32" s="26" t="s">
        <v>15</v>
      </c>
      <c r="C32" s="26"/>
      <c r="D32" s="26"/>
      <c r="E32" s="26">
        <v>368</v>
      </c>
      <c r="F32" s="26">
        <v>387</v>
      </c>
      <c r="G32" s="87">
        <v>407</v>
      </c>
      <c r="H32" s="26"/>
      <c r="I32" s="26">
        <v>334</v>
      </c>
      <c r="J32" s="26">
        <v>381</v>
      </c>
      <c r="K32" s="26">
        <v>346</v>
      </c>
      <c r="L32" s="26">
        <f>SUM(C32:K32)</f>
        <v>2223</v>
      </c>
      <c r="M32" s="26">
        <v>1</v>
      </c>
      <c r="N32" s="26">
        <v>7</v>
      </c>
      <c r="O32" s="26">
        <f>L32-2430</f>
        <v>-207</v>
      </c>
      <c r="P32" s="26">
        <v>0</v>
      </c>
    </row>
    <row r="33" spans="1:16" s="41" customFormat="1" ht="15.75">
      <c r="A33" s="36" t="s">
        <v>205</v>
      </c>
      <c r="B33" s="36" t="s">
        <v>16</v>
      </c>
      <c r="C33" s="67">
        <v>404</v>
      </c>
      <c r="D33" s="36"/>
      <c r="E33" s="36">
        <v>398</v>
      </c>
      <c r="F33" s="36">
        <v>380</v>
      </c>
      <c r="G33" s="36">
        <v>398</v>
      </c>
      <c r="H33" s="36">
        <v>397</v>
      </c>
      <c r="I33" s="36"/>
      <c r="J33" s="36">
        <v>399</v>
      </c>
      <c r="K33" s="36"/>
      <c r="L33" s="36">
        <f>SUM(C33:K33)</f>
        <v>2376</v>
      </c>
      <c r="M33" s="36">
        <v>1</v>
      </c>
      <c r="N33" s="36">
        <v>7</v>
      </c>
      <c r="O33" s="36">
        <f>L33-2550</f>
        <v>-174</v>
      </c>
      <c r="P33" s="36">
        <v>0</v>
      </c>
    </row>
    <row r="34" spans="1:16" s="32" customFormat="1" ht="15.75">
      <c r="A34" s="26" t="s">
        <v>207</v>
      </c>
      <c r="B34" s="26" t="s">
        <v>28</v>
      </c>
      <c r="C34" s="87">
        <v>417</v>
      </c>
      <c r="D34" s="26"/>
      <c r="E34" s="26">
        <v>374</v>
      </c>
      <c r="F34" s="26"/>
      <c r="G34" s="87">
        <v>414</v>
      </c>
      <c r="H34" s="26"/>
      <c r="I34" s="26">
        <v>364</v>
      </c>
      <c r="J34" s="26">
        <v>385</v>
      </c>
      <c r="K34" s="26">
        <v>352</v>
      </c>
      <c r="L34" s="26">
        <f>SUM(C34:K34)</f>
        <v>2306</v>
      </c>
      <c r="M34" s="26">
        <v>2</v>
      </c>
      <c r="N34" s="26">
        <v>6</v>
      </c>
      <c r="O34" s="26">
        <v>-162</v>
      </c>
      <c r="P34" s="26">
        <v>0</v>
      </c>
    </row>
    <row r="35" spans="1:16" s="41" customFormat="1" ht="15.75">
      <c r="A35" s="36" t="s">
        <v>208</v>
      </c>
      <c r="B35" s="36" t="s">
        <v>34</v>
      </c>
      <c r="C35" s="36">
        <v>374</v>
      </c>
      <c r="D35" s="36"/>
      <c r="E35" s="36">
        <v>370</v>
      </c>
      <c r="F35" s="36">
        <v>377</v>
      </c>
      <c r="G35" s="67">
        <v>443</v>
      </c>
      <c r="H35" s="36">
        <v>377</v>
      </c>
      <c r="I35" s="36"/>
      <c r="J35" s="67">
        <v>402</v>
      </c>
      <c r="K35" s="36"/>
      <c r="L35" s="36">
        <f aca="true" t="shared" si="2" ref="L35:L44">SUM(C35:K35)</f>
        <v>2343</v>
      </c>
      <c r="M35" s="36">
        <v>2</v>
      </c>
      <c r="N35" s="36">
        <v>6</v>
      </c>
      <c r="O35" s="36">
        <f>L35-2423</f>
        <v>-80</v>
      </c>
      <c r="P35" s="36">
        <v>0</v>
      </c>
    </row>
    <row r="36" spans="1:16" s="32" customFormat="1" ht="15.75">
      <c r="A36" s="26" t="s">
        <v>209</v>
      </c>
      <c r="B36" s="26" t="s">
        <v>27</v>
      </c>
      <c r="C36" s="26"/>
      <c r="D36" s="26"/>
      <c r="E36" s="26"/>
      <c r="F36" s="26">
        <v>384</v>
      </c>
      <c r="G36" s="87">
        <v>408</v>
      </c>
      <c r="H36" s="26">
        <v>396</v>
      </c>
      <c r="I36" s="26">
        <v>367</v>
      </c>
      <c r="J36" s="26">
        <v>390</v>
      </c>
      <c r="K36" s="26">
        <v>356</v>
      </c>
      <c r="L36" s="26">
        <f t="shared" si="2"/>
        <v>2301</v>
      </c>
      <c r="M36" s="26">
        <v>1</v>
      </c>
      <c r="N36" s="26">
        <v>7</v>
      </c>
      <c r="O36" s="26">
        <f>L36-2491</f>
        <v>-190</v>
      </c>
      <c r="P36" s="26">
        <v>0</v>
      </c>
    </row>
    <row r="37" spans="1:16" s="32" customFormat="1" ht="15.75">
      <c r="A37" s="26" t="s">
        <v>210</v>
      </c>
      <c r="B37" s="26" t="s">
        <v>26</v>
      </c>
      <c r="C37" s="87">
        <v>408</v>
      </c>
      <c r="D37" s="26"/>
      <c r="E37" s="26">
        <v>394</v>
      </c>
      <c r="F37" s="26">
        <v>377</v>
      </c>
      <c r="G37" s="26">
        <v>387</v>
      </c>
      <c r="H37" s="26">
        <v>373</v>
      </c>
      <c r="I37" s="26"/>
      <c r="J37" s="26">
        <v>365</v>
      </c>
      <c r="K37" s="26"/>
      <c r="L37" s="26">
        <f t="shared" si="2"/>
        <v>2304</v>
      </c>
      <c r="M37" s="26">
        <v>1</v>
      </c>
      <c r="N37" s="26">
        <v>7</v>
      </c>
      <c r="O37" s="26">
        <v>-126</v>
      </c>
      <c r="P37" s="26">
        <v>0</v>
      </c>
    </row>
    <row r="38" spans="1:16" s="32" customFormat="1" ht="15.75">
      <c r="A38" s="26" t="s">
        <v>211</v>
      </c>
      <c r="B38" s="26" t="s">
        <v>18</v>
      </c>
      <c r="C38" s="87">
        <v>411</v>
      </c>
      <c r="D38" s="26"/>
      <c r="E38" s="87">
        <v>422</v>
      </c>
      <c r="F38" s="87">
        <v>417</v>
      </c>
      <c r="G38" s="26">
        <v>376</v>
      </c>
      <c r="H38" s="26"/>
      <c r="I38" s="26">
        <v>392</v>
      </c>
      <c r="J38" s="26"/>
      <c r="K38" s="26">
        <v>352</v>
      </c>
      <c r="L38" s="26">
        <f t="shared" si="2"/>
        <v>2370</v>
      </c>
      <c r="M38" s="26">
        <v>3</v>
      </c>
      <c r="N38" s="26">
        <v>5</v>
      </c>
      <c r="O38" s="26">
        <f>L38-2424</f>
        <v>-54</v>
      </c>
      <c r="P38" s="26">
        <v>0</v>
      </c>
    </row>
    <row r="39" spans="1:16" s="41" customFormat="1" ht="15.75">
      <c r="A39" s="36" t="s">
        <v>212</v>
      </c>
      <c r="B39" s="36" t="s">
        <v>31</v>
      </c>
      <c r="C39" s="36">
        <v>396</v>
      </c>
      <c r="D39" s="36">
        <v>344</v>
      </c>
      <c r="E39" s="36">
        <v>375</v>
      </c>
      <c r="F39" s="36">
        <v>399</v>
      </c>
      <c r="G39" s="36"/>
      <c r="H39" s="36"/>
      <c r="I39" s="36">
        <v>380</v>
      </c>
      <c r="J39" s="36">
        <v>395</v>
      </c>
      <c r="K39" s="36"/>
      <c r="L39" s="36">
        <f t="shared" si="2"/>
        <v>2289</v>
      </c>
      <c r="M39" s="36">
        <v>0</v>
      </c>
      <c r="N39" s="36">
        <v>8</v>
      </c>
      <c r="O39" s="36">
        <f>+L39-2552</f>
        <v>-263</v>
      </c>
      <c r="P39" s="36">
        <v>0</v>
      </c>
    </row>
    <row r="40" spans="1:16" s="32" customFormat="1" ht="15.75">
      <c r="A40" s="26" t="s">
        <v>213</v>
      </c>
      <c r="B40" s="26" t="s">
        <v>29</v>
      </c>
      <c r="C40" s="26">
        <v>393</v>
      </c>
      <c r="D40" s="26"/>
      <c r="E40" s="26"/>
      <c r="F40" s="26">
        <v>359</v>
      </c>
      <c r="G40" s="26">
        <v>375</v>
      </c>
      <c r="H40" s="26"/>
      <c r="I40" s="87">
        <v>411</v>
      </c>
      <c r="J40" s="87">
        <v>417</v>
      </c>
      <c r="K40" s="26">
        <v>373</v>
      </c>
      <c r="L40" s="26">
        <f t="shared" si="2"/>
        <v>2328</v>
      </c>
      <c r="M40" s="26">
        <v>2</v>
      </c>
      <c r="N40" s="26">
        <v>6</v>
      </c>
      <c r="O40" s="26">
        <v>-159</v>
      </c>
      <c r="P40" s="26">
        <v>0</v>
      </c>
    </row>
    <row r="41" spans="1:16" s="41" customFormat="1" ht="15.75">
      <c r="A41" s="36" t="s">
        <v>214</v>
      </c>
      <c r="B41" s="36" t="s">
        <v>23</v>
      </c>
      <c r="C41" s="67">
        <v>442</v>
      </c>
      <c r="D41" s="36"/>
      <c r="E41" s="36">
        <v>355</v>
      </c>
      <c r="F41" s="36"/>
      <c r="G41" s="36">
        <v>365</v>
      </c>
      <c r="H41" s="36">
        <v>381</v>
      </c>
      <c r="I41" s="36">
        <v>364</v>
      </c>
      <c r="J41" s="36">
        <v>369</v>
      </c>
      <c r="K41" s="36"/>
      <c r="L41" s="36">
        <f t="shared" si="2"/>
        <v>2276</v>
      </c>
      <c r="M41" s="36">
        <v>1</v>
      </c>
      <c r="N41" s="36">
        <v>7</v>
      </c>
      <c r="O41" s="36">
        <v>-242</v>
      </c>
      <c r="P41" s="36">
        <v>0</v>
      </c>
    </row>
    <row r="42" spans="1:16" s="41" customFormat="1" ht="15.75">
      <c r="A42" s="36" t="s">
        <v>215</v>
      </c>
      <c r="B42" s="36" t="s">
        <v>33</v>
      </c>
      <c r="C42" s="36">
        <v>410</v>
      </c>
      <c r="D42" s="36"/>
      <c r="E42" s="36"/>
      <c r="F42" s="67">
        <v>411</v>
      </c>
      <c r="G42" s="67">
        <v>415</v>
      </c>
      <c r="H42" s="36">
        <v>390</v>
      </c>
      <c r="I42" s="67">
        <v>422</v>
      </c>
      <c r="J42" s="36">
        <v>382</v>
      </c>
      <c r="K42" s="36"/>
      <c r="L42" s="36">
        <f t="shared" si="2"/>
        <v>2430</v>
      </c>
      <c r="M42" s="36">
        <v>5</v>
      </c>
      <c r="N42" s="36">
        <v>3</v>
      </c>
      <c r="O42" s="36">
        <v>12</v>
      </c>
      <c r="P42" s="36">
        <v>2</v>
      </c>
    </row>
    <row r="43" spans="1:16" s="32" customFormat="1" ht="15.75">
      <c r="A43" s="26" t="s">
        <v>216</v>
      </c>
      <c r="B43" s="26" t="s">
        <v>21</v>
      </c>
      <c r="C43" s="26"/>
      <c r="D43" s="26"/>
      <c r="E43" s="45">
        <v>381</v>
      </c>
      <c r="F43" s="26"/>
      <c r="G43" s="87">
        <v>420</v>
      </c>
      <c r="H43" s="26">
        <v>408</v>
      </c>
      <c r="I43" s="87">
        <v>353</v>
      </c>
      <c r="J43" s="87">
        <v>411</v>
      </c>
      <c r="K43" s="26">
        <v>353</v>
      </c>
      <c r="L43" s="26">
        <f t="shared" si="2"/>
        <v>2326</v>
      </c>
      <c r="M43" s="26">
        <v>3</v>
      </c>
      <c r="N43" s="26">
        <v>5</v>
      </c>
      <c r="O43" s="26">
        <v>-96</v>
      </c>
      <c r="P43" s="26">
        <v>0</v>
      </c>
    </row>
    <row r="44" spans="1:16" s="41" customFormat="1" ht="16.5" thickBot="1">
      <c r="A44" s="36" t="s">
        <v>217</v>
      </c>
      <c r="B44" s="36" t="s">
        <v>19</v>
      </c>
      <c r="C44" s="67">
        <v>405</v>
      </c>
      <c r="D44" s="36"/>
      <c r="E44" s="36">
        <v>363</v>
      </c>
      <c r="F44" s="36">
        <v>375</v>
      </c>
      <c r="G44" s="67">
        <v>437</v>
      </c>
      <c r="H44" s="67">
        <v>415</v>
      </c>
      <c r="I44" s="36"/>
      <c r="J44" s="36">
        <v>368</v>
      </c>
      <c r="K44" s="36"/>
      <c r="L44" s="36">
        <f t="shared" si="2"/>
        <v>2363</v>
      </c>
      <c r="M44" s="53">
        <v>5</v>
      </c>
      <c r="N44" s="53">
        <v>3</v>
      </c>
      <c r="O44" s="53">
        <v>6</v>
      </c>
      <c r="P44" s="53">
        <v>2</v>
      </c>
    </row>
    <row r="45" spans="13:16" ht="16.5" thickTop="1">
      <c r="M45" s="1">
        <f>SUM(M30:M44)</f>
        <v>30</v>
      </c>
      <c r="N45" s="1">
        <f>SUM(N30:N44)</f>
        <v>82</v>
      </c>
      <c r="O45" s="1">
        <f>SUM(O30:O44)</f>
        <v>-1794</v>
      </c>
      <c r="P45" s="1">
        <f>SUM(P30:P44)</f>
        <v>4</v>
      </c>
    </row>
  </sheetData>
  <mergeCells count="7">
    <mergeCell ref="M1:N1"/>
    <mergeCell ref="C22:D22"/>
    <mergeCell ref="M19:N19"/>
    <mergeCell ref="I24:J24"/>
    <mergeCell ref="C23:D23"/>
    <mergeCell ref="C24:D24"/>
    <mergeCell ref="C1:K1"/>
  </mergeCells>
  <printOptions/>
  <pageMargins left="0.75" right="0.75" top="1" bottom="1" header="0.5" footer="0.5"/>
  <pageSetup orientation="portrait" paperSize="9"/>
  <ignoredErrors>
    <ignoredError sqref="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="89" zoomScaleNormal="89" workbookViewId="0" topLeftCell="A22">
      <selection activeCell="P45" sqref="P45"/>
    </sheetView>
  </sheetViews>
  <sheetFormatPr defaultColWidth="9.00390625" defaultRowHeight="12.75"/>
  <cols>
    <col min="1" max="1" width="11.75390625" style="1" bestFit="1" customWidth="1"/>
    <col min="2" max="2" width="10.375" style="1" bestFit="1" customWidth="1"/>
    <col min="3" max="9" width="9.125" style="1" customWidth="1"/>
    <col min="10" max="10" width="10.25390625" style="1" customWidth="1"/>
    <col min="11" max="11" width="11.37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5.75390625" style="0" bestFit="1" customWidth="1"/>
  </cols>
  <sheetData>
    <row r="1" spans="3:20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  <c r="R1" s="2"/>
      <c r="S1" s="2"/>
      <c r="T1" s="2"/>
    </row>
    <row r="2" spans="2:17" ht="32.25" thickBot="1">
      <c r="B2" s="3" t="s">
        <v>30</v>
      </c>
      <c r="C2" s="13" t="s">
        <v>90</v>
      </c>
      <c r="D2" s="13" t="s">
        <v>91</v>
      </c>
      <c r="E2" s="13" t="s">
        <v>92</v>
      </c>
      <c r="F2" s="13" t="s">
        <v>93</v>
      </c>
      <c r="G2" s="13" t="s">
        <v>94</v>
      </c>
      <c r="H2" s="13" t="s">
        <v>95</v>
      </c>
      <c r="I2" s="13" t="s">
        <v>124</v>
      </c>
      <c r="J2" s="13" t="s">
        <v>125</v>
      </c>
      <c r="K2" s="13" t="s">
        <v>174</v>
      </c>
      <c r="L2" s="13" t="s">
        <v>194</v>
      </c>
      <c r="M2" s="3" t="s">
        <v>39</v>
      </c>
      <c r="N2" s="3" t="s">
        <v>27</v>
      </c>
      <c r="O2" s="3" t="s">
        <v>38</v>
      </c>
      <c r="P2" s="3" t="s">
        <v>40</v>
      </c>
      <c r="Q2" s="15" t="s">
        <v>143</v>
      </c>
    </row>
    <row r="3" spans="1:17" s="41" customFormat="1" ht="15.75">
      <c r="A3" s="36" t="s">
        <v>0</v>
      </c>
      <c r="B3" s="36" t="s">
        <v>33</v>
      </c>
      <c r="C3" s="67">
        <v>434</v>
      </c>
      <c r="D3" s="36"/>
      <c r="E3" s="42">
        <v>430</v>
      </c>
      <c r="F3" s="42">
        <v>412</v>
      </c>
      <c r="G3" s="67">
        <v>472</v>
      </c>
      <c r="H3" s="67">
        <v>435</v>
      </c>
      <c r="I3" s="42"/>
      <c r="J3" s="42">
        <v>421</v>
      </c>
      <c r="K3" s="36"/>
      <c r="L3" s="43"/>
      <c r="M3" s="39">
        <f>SUM(C3:L3)</f>
        <v>2604</v>
      </c>
      <c r="N3" s="36">
        <v>5</v>
      </c>
      <c r="O3" s="36">
        <v>3</v>
      </c>
      <c r="P3" s="36">
        <v>90</v>
      </c>
      <c r="Q3" s="36">
        <v>2</v>
      </c>
    </row>
    <row r="4" spans="1:17" s="32" customFormat="1" ht="15.75">
      <c r="A4" s="26" t="s">
        <v>1</v>
      </c>
      <c r="B4" s="26" t="s">
        <v>25</v>
      </c>
      <c r="C4" s="87">
        <v>462</v>
      </c>
      <c r="D4" s="26"/>
      <c r="E4" s="87">
        <v>449</v>
      </c>
      <c r="F4" s="87">
        <v>439</v>
      </c>
      <c r="G4" s="45"/>
      <c r="H4" s="87">
        <v>434</v>
      </c>
      <c r="I4" s="45"/>
      <c r="J4" s="87">
        <v>433</v>
      </c>
      <c r="K4" s="87">
        <v>470</v>
      </c>
      <c r="L4" s="46"/>
      <c r="M4" s="30">
        <f aca="true" t="shared" si="0" ref="M4:M17">SUM(C4:L4)</f>
        <v>2687</v>
      </c>
      <c r="N4" s="26">
        <v>8</v>
      </c>
      <c r="O4" s="26">
        <v>0</v>
      </c>
      <c r="P4" s="26">
        <v>422</v>
      </c>
      <c r="Q4" s="26">
        <v>2</v>
      </c>
    </row>
    <row r="5" spans="1:17" s="41" customFormat="1" ht="15.75">
      <c r="A5" s="36" t="s">
        <v>2</v>
      </c>
      <c r="B5" s="36" t="s">
        <v>29</v>
      </c>
      <c r="C5" s="42">
        <v>422</v>
      </c>
      <c r="D5" s="36"/>
      <c r="E5" s="67">
        <v>440</v>
      </c>
      <c r="F5" s="42">
        <v>358</v>
      </c>
      <c r="G5" s="67">
        <v>451</v>
      </c>
      <c r="H5" s="42">
        <v>396</v>
      </c>
      <c r="I5" s="42"/>
      <c r="J5" s="67">
        <v>427</v>
      </c>
      <c r="K5" s="36"/>
      <c r="L5" s="43"/>
      <c r="M5" s="39">
        <f t="shared" si="0"/>
        <v>2494</v>
      </c>
      <c r="N5" s="36">
        <v>5</v>
      </c>
      <c r="O5" s="36">
        <v>3</v>
      </c>
      <c r="P5" s="36">
        <v>5</v>
      </c>
      <c r="Q5" s="36">
        <v>2</v>
      </c>
    </row>
    <row r="6" spans="1:17" s="32" customFormat="1" ht="15.75">
      <c r="A6" s="26" t="s">
        <v>3</v>
      </c>
      <c r="B6" s="26" t="s">
        <v>31</v>
      </c>
      <c r="C6" s="45">
        <v>436</v>
      </c>
      <c r="D6" s="26"/>
      <c r="E6" s="87">
        <v>453</v>
      </c>
      <c r="F6" s="45"/>
      <c r="G6" s="87">
        <v>445</v>
      </c>
      <c r="H6" s="45">
        <v>424</v>
      </c>
      <c r="I6" s="45"/>
      <c r="J6" s="45">
        <v>435</v>
      </c>
      <c r="K6" s="87">
        <v>468</v>
      </c>
      <c r="L6" s="46"/>
      <c r="M6" s="30">
        <f t="shared" si="0"/>
        <v>2661</v>
      </c>
      <c r="N6" s="26">
        <v>3</v>
      </c>
      <c r="O6" s="26">
        <v>5</v>
      </c>
      <c r="P6" s="26">
        <v>-37</v>
      </c>
      <c r="Q6" s="26">
        <v>0</v>
      </c>
    </row>
    <row r="7" spans="1:17" s="41" customFormat="1" ht="15.75">
      <c r="A7" s="36" t="s">
        <v>4</v>
      </c>
      <c r="B7" s="36" t="s">
        <v>18</v>
      </c>
      <c r="C7" s="42">
        <v>432</v>
      </c>
      <c r="D7" s="36"/>
      <c r="E7" s="67">
        <v>435</v>
      </c>
      <c r="F7" s="42">
        <v>422</v>
      </c>
      <c r="G7" s="67">
        <v>450</v>
      </c>
      <c r="H7" s="42"/>
      <c r="I7" s="42"/>
      <c r="J7" s="42">
        <v>406</v>
      </c>
      <c r="K7" s="36">
        <v>434</v>
      </c>
      <c r="L7" s="43"/>
      <c r="M7" s="39">
        <f t="shared" si="0"/>
        <v>2579</v>
      </c>
      <c r="N7" s="36">
        <v>4</v>
      </c>
      <c r="O7" s="36">
        <v>4</v>
      </c>
      <c r="P7" s="36">
        <v>41</v>
      </c>
      <c r="Q7" s="36">
        <v>1</v>
      </c>
    </row>
    <row r="8" spans="1:17" s="32" customFormat="1" ht="15.75">
      <c r="A8" s="26" t="s">
        <v>5</v>
      </c>
      <c r="B8" s="26" t="s">
        <v>26</v>
      </c>
      <c r="C8" s="87">
        <v>434</v>
      </c>
      <c r="D8" s="26"/>
      <c r="E8" s="26">
        <v>411</v>
      </c>
      <c r="F8" s="45"/>
      <c r="G8" s="45">
        <v>427</v>
      </c>
      <c r="H8" s="45">
        <v>389</v>
      </c>
      <c r="I8" s="45"/>
      <c r="J8" s="87">
        <v>454</v>
      </c>
      <c r="K8" s="87">
        <v>444</v>
      </c>
      <c r="L8" s="46"/>
      <c r="M8" s="30">
        <f t="shared" si="0"/>
        <v>2559</v>
      </c>
      <c r="N8" s="26">
        <v>3</v>
      </c>
      <c r="O8" s="26">
        <v>5</v>
      </c>
      <c r="P8" s="26">
        <v>-10</v>
      </c>
      <c r="Q8" s="26">
        <v>0</v>
      </c>
    </row>
    <row r="9" spans="1:17" s="41" customFormat="1" ht="15.75">
      <c r="A9" s="36" t="s">
        <v>6</v>
      </c>
      <c r="B9" s="36" t="s">
        <v>23</v>
      </c>
      <c r="C9" s="37">
        <v>412</v>
      </c>
      <c r="D9" s="36">
        <v>416</v>
      </c>
      <c r="E9" s="85">
        <v>460</v>
      </c>
      <c r="F9" s="37">
        <v>376</v>
      </c>
      <c r="G9" s="37"/>
      <c r="H9" s="37"/>
      <c r="I9" s="37"/>
      <c r="J9" s="37">
        <v>416</v>
      </c>
      <c r="K9" s="85">
        <v>453</v>
      </c>
      <c r="L9" s="43"/>
      <c r="M9" s="39">
        <f t="shared" si="0"/>
        <v>2533</v>
      </c>
      <c r="N9" s="36">
        <v>2</v>
      </c>
      <c r="O9" s="36">
        <v>6</v>
      </c>
      <c r="P9" s="36">
        <v>-10</v>
      </c>
      <c r="Q9" s="36">
        <v>0</v>
      </c>
    </row>
    <row r="10" spans="1:17" s="41" customFormat="1" ht="15.75">
      <c r="A10" s="36" t="s">
        <v>7</v>
      </c>
      <c r="B10" s="36" t="s">
        <v>20</v>
      </c>
      <c r="C10" s="67">
        <v>439</v>
      </c>
      <c r="D10" s="36"/>
      <c r="E10" s="42"/>
      <c r="F10" s="42">
        <v>417</v>
      </c>
      <c r="G10" s="42"/>
      <c r="H10" s="67">
        <v>441</v>
      </c>
      <c r="I10" s="67">
        <v>440</v>
      </c>
      <c r="J10" s="67">
        <v>449</v>
      </c>
      <c r="K10" s="67">
        <v>439</v>
      </c>
      <c r="L10" s="43"/>
      <c r="M10" s="39">
        <f t="shared" si="0"/>
        <v>2625</v>
      </c>
      <c r="N10" s="36">
        <v>7</v>
      </c>
      <c r="O10" s="36">
        <v>1</v>
      </c>
      <c r="P10" s="39">
        <v>24</v>
      </c>
      <c r="Q10" s="36">
        <v>2</v>
      </c>
    </row>
    <row r="11" spans="1:17" s="32" customFormat="1" ht="15.75">
      <c r="A11" s="26" t="s">
        <v>8</v>
      </c>
      <c r="B11" s="26" t="s">
        <v>35</v>
      </c>
      <c r="C11" s="87">
        <v>452</v>
      </c>
      <c r="D11" s="87">
        <v>435</v>
      </c>
      <c r="E11" s="26"/>
      <c r="F11" s="45"/>
      <c r="G11" s="45"/>
      <c r="H11" s="45">
        <v>395</v>
      </c>
      <c r="I11" s="45"/>
      <c r="J11" s="87">
        <v>433</v>
      </c>
      <c r="K11" s="87">
        <v>432</v>
      </c>
      <c r="L11" s="46">
        <v>390</v>
      </c>
      <c r="M11" s="30">
        <f t="shared" si="0"/>
        <v>2537</v>
      </c>
      <c r="N11" s="26">
        <v>4</v>
      </c>
      <c r="O11" s="26">
        <v>4</v>
      </c>
      <c r="P11" s="26">
        <v>-13</v>
      </c>
      <c r="Q11" s="26">
        <v>1</v>
      </c>
    </row>
    <row r="12" spans="1:17" s="41" customFormat="1" ht="15.75">
      <c r="A12" s="36" t="s">
        <v>9</v>
      </c>
      <c r="B12" s="36" t="s">
        <v>16</v>
      </c>
      <c r="C12" s="42">
        <v>420</v>
      </c>
      <c r="D12" s="36"/>
      <c r="E12" s="67">
        <v>462</v>
      </c>
      <c r="F12" s="42">
        <v>429</v>
      </c>
      <c r="G12" s="42"/>
      <c r="H12" s="67">
        <v>482</v>
      </c>
      <c r="I12" s="42"/>
      <c r="J12" s="42">
        <v>412</v>
      </c>
      <c r="K12" s="67">
        <v>456</v>
      </c>
      <c r="L12" s="43"/>
      <c r="M12" s="39">
        <f t="shared" si="0"/>
        <v>2661</v>
      </c>
      <c r="N12" s="36">
        <v>5</v>
      </c>
      <c r="O12" s="36">
        <v>3</v>
      </c>
      <c r="P12" s="36">
        <v>91</v>
      </c>
      <c r="Q12" s="36">
        <v>2</v>
      </c>
    </row>
    <row r="13" spans="1:17" s="32" customFormat="1" ht="15.75">
      <c r="A13" s="26" t="s">
        <v>10</v>
      </c>
      <c r="B13" s="26" t="s">
        <v>15</v>
      </c>
      <c r="C13" s="87">
        <v>455</v>
      </c>
      <c r="D13" s="26">
        <v>393</v>
      </c>
      <c r="E13" s="87">
        <v>435</v>
      </c>
      <c r="F13" s="45"/>
      <c r="G13" s="45"/>
      <c r="H13" s="45"/>
      <c r="I13" s="45">
        <v>394</v>
      </c>
      <c r="J13" s="45">
        <v>428</v>
      </c>
      <c r="K13" s="87">
        <v>469</v>
      </c>
      <c r="L13" s="46"/>
      <c r="M13" s="30">
        <f t="shared" si="0"/>
        <v>2574</v>
      </c>
      <c r="N13" s="26">
        <v>3</v>
      </c>
      <c r="O13" s="26">
        <v>5</v>
      </c>
      <c r="P13" s="26">
        <v>-12</v>
      </c>
      <c r="Q13" s="26">
        <v>0</v>
      </c>
    </row>
    <row r="14" spans="1:17" s="41" customFormat="1" ht="15.75">
      <c r="A14" s="36" t="s">
        <v>11</v>
      </c>
      <c r="B14" s="36" t="s">
        <v>17</v>
      </c>
      <c r="C14" s="67">
        <v>450</v>
      </c>
      <c r="D14" s="36"/>
      <c r="E14" s="42">
        <v>404</v>
      </c>
      <c r="F14" s="67">
        <v>423</v>
      </c>
      <c r="G14" s="42"/>
      <c r="H14" s="42">
        <v>384</v>
      </c>
      <c r="I14" s="42"/>
      <c r="J14" s="67">
        <v>420</v>
      </c>
      <c r="K14" s="67">
        <v>430</v>
      </c>
      <c r="L14" s="43"/>
      <c r="M14" s="39">
        <f t="shared" si="0"/>
        <v>2511</v>
      </c>
      <c r="N14" s="36">
        <v>6</v>
      </c>
      <c r="O14" s="36">
        <v>2</v>
      </c>
      <c r="P14" s="39">
        <f>M14-2490</f>
        <v>21</v>
      </c>
      <c r="Q14" s="36">
        <v>2</v>
      </c>
    </row>
    <row r="15" spans="1:13" ht="15.75">
      <c r="A15" s="1" t="s">
        <v>12</v>
      </c>
      <c r="B15" s="1" t="s">
        <v>24</v>
      </c>
      <c r="C15" s="14"/>
      <c r="E15" s="14"/>
      <c r="F15" s="14"/>
      <c r="G15" s="14"/>
      <c r="H15" s="14"/>
      <c r="I15" s="14"/>
      <c r="J15" s="14"/>
      <c r="L15" s="10"/>
      <c r="M15" s="7">
        <f t="shared" si="0"/>
        <v>0</v>
      </c>
    </row>
    <row r="16" spans="1:17" s="41" customFormat="1" ht="15.75">
      <c r="A16" s="36" t="s">
        <v>13</v>
      </c>
      <c r="B16" s="42" t="s">
        <v>19</v>
      </c>
      <c r="C16" s="67">
        <v>413</v>
      </c>
      <c r="D16" s="36">
        <v>398</v>
      </c>
      <c r="E16" s="42"/>
      <c r="F16" s="67">
        <v>419</v>
      </c>
      <c r="G16" s="42"/>
      <c r="H16" s="67">
        <v>455</v>
      </c>
      <c r="I16" s="42">
        <v>408</v>
      </c>
      <c r="J16" s="67">
        <v>411</v>
      </c>
      <c r="K16" s="36"/>
      <c r="L16" s="43"/>
      <c r="M16" s="39">
        <f t="shared" si="0"/>
        <v>2504</v>
      </c>
      <c r="N16" s="36">
        <v>6</v>
      </c>
      <c r="O16" s="36">
        <v>2</v>
      </c>
      <c r="P16" s="36">
        <v>95</v>
      </c>
      <c r="Q16" s="36">
        <v>2</v>
      </c>
    </row>
    <row r="17" spans="1:17" s="32" customFormat="1" ht="16.5" thickBot="1">
      <c r="A17" s="26" t="s">
        <v>14</v>
      </c>
      <c r="B17" s="26" t="s">
        <v>21</v>
      </c>
      <c r="C17" s="99">
        <v>440</v>
      </c>
      <c r="D17" s="33"/>
      <c r="E17" s="35">
        <v>423</v>
      </c>
      <c r="F17" s="33">
        <v>401</v>
      </c>
      <c r="G17" s="33"/>
      <c r="H17" s="99">
        <v>426</v>
      </c>
      <c r="I17" s="33">
        <v>424</v>
      </c>
      <c r="J17" s="33"/>
      <c r="K17" s="99">
        <v>478</v>
      </c>
      <c r="L17" s="47"/>
      <c r="M17" s="34">
        <f t="shared" si="0"/>
        <v>2592</v>
      </c>
      <c r="N17" s="35">
        <v>5</v>
      </c>
      <c r="O17" s="35">
        <v>3</v>
      </c>
      <c r="P17" s="35">
        <v>151</v>
      </c>
      <c r="Q17" s="35">
        <v>2</v>
      </c>
    </row>
    <row r="18" spans="3:12" ht="16.5" thickTop="1">
      <c r="C18" s="7">
        <f aca="true" t="shared" si="1" ref="C18:L18">SUM(C3:C17)</f>
        <v>6101</v>
      </c>
      <c r="D18" s="7">
        <f>SUM(D3:D17)</f>
        <v>1642</v>
      </c>
      <c r="E18" s="7">
        <f>SUM(E3:E17)</f>
        <v>4802</v>
      </c>
      <c r="F18" s="7">
        <f t="shared" si="1"/>
        <v>4096</v>
      </c>
      <c r="G18" s="7">
        <f t="shared" si="1"/>
        <v>2245</v>
      </c>
      <c r="H18" s="7">
        <f t="shared" si="1"/>
        <v>4661</v>
      </c>
      <c r="I18" s="7">
        <f t="shared" si="1"/>
        <v>1666</v>
      </c>
      <c r="J18" s="7">
        <f t="shared" si="1"/>
        <v>5545</v>
      </c>
      <c r="K18" s="7">
        <f t="shared" si="1"/>
        <v>4973</v>
      </c>
      <c r="L18" s="7">
        <f t="shared" si="1"/>
        <v>390</v>
      </c>
    </row>
    <row r="19" spans="2:19" ht="33.75" customHeight="1">
      <c r="B19" s="16" t="s">
        <v>163</v>
      </c>
      <c r="C19" s="22">
        <f>C18/14</f>
        <v>435.7857142857143</v>
      </c>
      <c r="D19" s="22">
        <f>D18/4</f>
        <v>410.5</v>
      </c>
      <c r="E19" s="22">
        <f>E18/11</f>
        <v>436.54545454545456</v>
      </c>
      <c r="F19" s="22">
        <f>F18/10</f>
        <v>409.6</v>
      </c>
      <c r="G19" s="22">
        <f>G18/5</f>
        <v>449</v>
      </c>
      <c r="H19" s="22">
        <f>H18/11</f>
        <v>423.72727272727275</v>
      </c>
      <c r="I19" s="22">
        <f>I18/4</f>
        <v>416.5</v>
      </c>
      <c r="J19" s="22">
        <f>J18/13</f>
        <v>426.53846153846155</v>
      </c>
      <c r="K19" s="22">
        <f>K18/11</f>
        <v>452.09090909090907</v>
      </c>
      <c r="L19" s="22">
        <f>L18/1</f>
        <v>390</v>
      </c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36121</v>
      </c>
      <c r="N20" s="1">
        <f>SUM(N3:N17)</f>
        <v>66</v>
      </c>
      <c r="O20" s="1">
        <f>SUM(O3:O17)</f>
        <v>46</v>
      </c>
      <c r="P20" s="1">
        <f>SUM(P3:P17)</f>
        <v>858</v>
      </c>
      <c r="Q20" s="1">
        <f>SUM(Q3:Q17)</f>
        <v>18</v>
      </c>
      <c r="S20" s="2">
        <f>N20-O20</f>
        <v>20</v>
      </c>
    </row>
    <row r="21" spans="3:4" ht="15.75">
      <c r="C21" s="119" t="s">
        <v>52</v>
      </c>
      <c r="D21" s="119"/>
    </row>
    <row r="22" spans="3:14" ht="15.75">
      <c r="C22" s="116" t="s">
        <v>168</v>
      </c>
      <c r="D22" s="116"/>
      <c r="M22" s="1" t="s">
        <v>164</v>
      </c>
      <c r="N22" s="24">
        <f>M20/14</f>
        <v>2580.0714285714284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9:13" ht="15.75">
      <c r="I25" s="1">
        <f>N20+N45</f>
        <v>135</v>
      </c>
      <c r="J25" s="1">
        <f>O20+O45</f>
        <v>89</v>
      </c>
      <c r="K25" s="1">
        <f>Q20+Q45</f>
        <v>38</v>
      </c>
      <c r="L25" s="115">
        <f>I25-J25</f>
        <v>46</v>
      </c>
      <c r="M25" s="115"/>
    </row>
    <row r="26" spans="1:5" ht="15.75">
      <c r="A26" s="92" t="s">
        <v>183</v>
      </c>
      <c r="B26" s="65"/>
      <c r="C26" s="94" t="s">
        <v>189</v>
      </c>
      <c r="D26" s="86" t="s">
        <v>181</v>
      </c>
      <c r="E26" s="93" t="s">
        <v>182</v>
      </c>
    </row>
    <row r="27" spans="1:5" ht="15.75">
      <c r="A27" s="92"/>
      <c r="B27" s="65"/>
      <c r="C27" s="94"/>
      <c r="D27" s="86"/>
      <c r="E27" s="93"/>
    </row>
    <row r="29" spans="2:17" ht="32.25" thickBot="1">
      <c r="B29" s="3" t="s">
        <v>30</v>
      </c>
      <c r="C29" s="13" t="s">
        <v>90</v>
      </c>
      <c r="D29" s="13" t="s">
        <v>91</v>
      </c>
      <c r="E29" s="13" t="s">
        <v>92</v>
      </c>
      <c r="F29" s="13" t="s">
        <v>93</v>
      </c>
      <c r="G29" s="13" t="s">
        <v>94</v>
      </c>
      <c r="H29" s="13" t="s">
        <v>95</v>
      </c>
      <c r="I29" s="13" t="s">
        <v>124</v>
      </c>
      <c r="J29" s="13" t="s">
        <v>125</v>
      </c>
      <c r="K29" s="13" t="s">
        <v>174</v>
      </c>
      <c r="L29" s="13" t="s">
        <v>194</v>
      </c>
      <c r="M29" s="3" t="s">
        <v>39</v>
      </c>
      <c r="N29" s="3" t="s">
        <v>27</v>
      </c>
      <c r="O29" s="3" t="s">
        <v>38</v>
      </c>
      <c r="P29" s="3" t="s">
        <v>40</v>
      </c>
      <c r="Q29" s="15" t="s">
        <v>143</v>
      </c>
    </row>
    <row r="30" spans="1:17" s="32" customFormat="1" ht="15.75">
      <c r="A30" s="26" t="s">
        <v>198</v>
      </c>
      <c r="B30" s="26" t="s">
        <v>20</v>
      </c>
      <c r="C30" s="87">
        <v>455</v>
      </c>
      <c r="D30" s="26"/>
      <c r="E30" s="87">
        <v>414</v>
      </c>
      <c r="F30" s="26"/>
      <c r="G30" s="26"/>
      <c r="H30" s="26">
        <v>410</v>
      </c>
      <c r="I30" s="26">
        <v>413</v>
      </c>
      <c r="J30" s="26">
        <v>388</v>
      </c>
      <c r="K30" s="87">
        <v>432</v>
      </c>
      <c r="L30" s="26"/>
      <c r="M30" s="26">
        <f>SUM(C30:L30)</f>
        <v>2512</v>
      </c>
      <c r="N30" s="26">
        <v>5</v>
      </c>
      <c r="O30" s="26">
        <v>3</v>
      </c>
      <c r="P30" s="26">
        <f>2512-2483</f>
        <v>29</v>
      </c>
      <c r="Q30" s="26">
        <v>2</v>
      </c>
    </row>
    <row r="31" spans="1:17" s="32" customFormat="1" ht="15.75">
      <c r="A31" s="26" t="s">
        <v>202</v>
      </c>
      <c r="B31" s="26" t="s">
        <v>23</v>
      </c>
      <c r="C31" s="87">
        <v>438</v>
      </c>
      <c r="D31" s="26"/>
      <c r="E31" s="26">
        <v>409</v>
      </c>
      <c r="F31" s="26"/>
      <c r="G31" s="26"/>
      <c r="H31" s="26">
        <v>394</v>
      </c>
      <c r="I31" s="87">
        <v>427</v>
      </c>
      <c r="J31" s="87">
        <v>430</v>
      </c>
      <c r="K31" s="87">
        <v>433</v>
      </c>
      <c r="L31" s="26"/>
      <c r="M31" s="26">
        <f>SUM(C31:L31)</f>
        <v>2531</v>
      </c>
      <c r="N31" s="26">
        <v>6</v>
      </c>
      <c r="O31" s="26">
        <v>2</v>
      </c>
      <c r="P31" s="26">
        <v>55</v>
      </c>
      <c r="Q31" s="26">
        <v>2</v>
      </c>
    </row>
    <row r="32" spans="1:17" s="41" customFormat="1" ht="15.75">
      <c r="A32" s="36" t="s">
        <v>204</v>
      </c>
      <c r="B32" s="36" t="s">
        <v>26</v>
      </c>
      <c r="C32" s="36">
        <v>420</v>
      </c>
      <c r="D32" s="36"/>
      <c r="E32" s="67">
        <v>453</v>
      </c>
      <c r="F32" s="36"/>
      <c r="G32" s="36"/>
      <c r="H32" s="67">
        <v>437</v>
      </c>
      <c r="I32" s="67">
        <v>440</v>
      </c>
      <c r="J32" s="36">
        <v>430</v>
      </c>
      <c r="K32" s="67">
        <v>462</v>
      </c>
      <c r="L32" s="36"/>
      <c r="M32" s="36">
        <f>SUM(C32:L32)</f>
        <v>2642</v>
      </c>
      <c r="N32" s="36">
        <v>6</v>
      </c>
      <c r="O32" s="36">
        <v>2</v>
      </c>
      <c r="P32" s="36">
        <v>58</v>
      </c>
      <c r="Q32" s="36">
        <v>2</v>
      </c>
    </row>
    <row r="33" spans="1:17" s="32" customFormat="1" ht="15.75">
      <c r="A33" s="26" t="s">
        <v>205</v>
      </c>
      <c r="B33" s="26" t="s">
        <v>18</v>
      </c>
      <c r="C33" s="87">
        <v>452</v>
      </c>
      <c r="D33" s="26"/>
      <c r="E33" s="87">
        <v>444</v>
      </c>
      <c r="F33" s="26">
        <v>190</v>
      </c>
      <c r="G33" s="26"/>
      <c r="H33" s="26">
        <v>395</v>
      </c>
      <c r="I33" s="26">
        <v>392</v>
      </c>
      <c r="J33" s="87">
        <v>430</v>
      </c>
      <c r="K33" s="26">
        <v>197</v>
      </c>
      <c r="L33" s="26"/>
      <c r="M33" s="26">
        <f>SUM(C33:L33)</f>
        <v>2500</v>
      </c>
      <c r="N33" s="26">
        <v>3</v>
      </c>
      <c r="O33" s="26">
        <v>5</v>
      </c>
      <c r="P33" s="26">
        <v>-2</v>
      </c>
      <c r="Q33" s="26">
        <v>0</v>
      </c>
    </row>
    <row r="34" spans="1:17" s="41" customFormat="1" ht="15.75">
      <c r="A34" s="36" t="s">
        <v>207</v>
      </c>
      <c r="B34" s="36" t="s">
        <v>31</v>
      </c>
      <c r="C34" s="67">
        <v>445</v>
      </c>
      <c r="D34" s="36"/>
      <c r="E34" s="36">
        <v>402</v>
      </c>
      <c r="F34" s="36"/>
      <c r="G34" s="36"/>
      <c r="H34" s="67">
        <v>435</v>
      </c>
      <c r="I34" s="36">
        <v>369</v>
      </c>
      <c r="J34" s="36">
        <v>391</v>
      </c>
      <c r="K34" s="67">
        <v>443</v>
      </c>
      <c r="L34" s="36"/>
      <c r="M34" s="36">
        <f>SUM(C34:L34)</f>
        <v>2485</v>
      </c>
      <c r="N34" s="36">
        <v>3</v>
      </c>
      <c r="O34" s="36">
        <v>5</v>
      </c>
      <c r="P34" s="36">
        <f>M34-2607</f>
        <v>-122</v>
      </c>
      <c r="Q34" s="36">
        <v>0</v>
      </c>
    </row>
    <row r="35" spans="1:17" s="32" customFormat="1" ht="15.75">
      <c r="A35" s="26" t="s">
        <v>208</v>
      </c>
      <c r="B35" s="26" t="s">
        <v>29</v>
      </c>
      <c r="C35" s="26">
        <v>414</v>
      </c>
      <c r="D35" s="26">
        <v>411</v>
      </c>
      <c r="E35" s="26"/>
      <c r="F35" s="26"/>
      <c r="G35" s="26"/>
      <c r="H35" s="87">
        <v>434</v>
      </c>
      <c r="I35" s="26">
        <v>422</v>
      </c>
      <c r="J35" s="87">
        <v>425</v>
      </c>
      <c r="K35" s="87">
        <v>431</v>
      </c>
      <c r="L35" s="26"/>
      <c r="M35" s="26">
        <f aca="true" t="shared" si="2" ref="M35:M44">SUM(C35:L35)</f>
        <v>2537</v>
      </c>
      <c r="N35" s="26">
        <v>5</v>
      </c>
      <c r="O35" s="26">
        <v>3</v>
      </c>
      <c r="P35" s="26">
        <v>27</v>
      </c>
      <c r="Q35" s="26">
        <v>2</v>
      </c>
    </row>
    <row r="36" spans="1:17" s="41" customFormat="1" ht="15.75">
      <c r="A36" s="36" t="s">
        <v>209</v>
      </c>
      <c r="B36" s="36" t="s">
        <v>25</v>
      </c>
      <c r="C36" s="67">
        <v>426</v>
      </c>
      <c r="D36" s="36">
        <v>390</v>
      </c>
      <c r="E36" s="36"/>
      <c r="F36" s="67">
        <v>396</v>
      </c>
      <c r="G36" s="36"/>
      <c r="H36" s="67">
        <v>405</v>
      </c>
      <c r="I36" s="36"/>
      <c r="J36" s="67">
        <v>425</v>
      </c>
      <c r="K36" s="67">
        <v>449</v>
      </c>
      <c r="L36" s="36"/>
      <c r="M36" s="36">
        <f t="shared" si="2"/>
        <v>2491</v>
      </c>
      <c r="N36" s="36">
        <v>7</v>
      </c>
      <c r="O36" s="36">
        <v>1</v>
      </c>
      <c r="P36" s="36">
        <v>190</v>
      </c>
      <c r="Q36" s="36">
        <v>2</v>
      </c>
    </row>
    <row r="37" spans="1:17" s="32" customFormat="1" ht="15.75">
      <c r="A37" s="26" t="s">
        <v>210</v>
      </c>
      <c r="B37" s="26" t="s">
        <v>33</v>
      </c>
      <c r="C37" s="87">
        <v>414</v>
      </c>
      <c r="D37" s="26"/>
      <c r="E37" s="26"/>
      <c r="F37" s="26">
        <v>377</v>
      </c>
      <c r="G37" s="26"/>
      <c r="H37" s="26">
        <v>393</v>
      </c>
      <c r="I37" s="26">
        <v>359</v>
      </c>
      <c r="J37" s="87">
        <v>417</v>
      </c>
      <c r="K37" s="87">
        <v>442</v>
      </c>
      <c r="L37" s="26"/>
      <c r="M37" s="26">
        <f t="shared" si="2"/>
        <v>2402</v>
      </c>
      <c r="N37" s="26">
        <v>3</v>
      </c>
      <c r="O37" s="26">
        <v>5</v>
      </c>
      <c r="P37" s="26">
        <v>-86</v>
      </c>
      <c r="Q37" s="26">
        <v>0</v>
      </c>
    </row>
    <row r="38" spans="1:17" s="41" customFormat="1" ht="15.75">
      <c r="A38" s="36" t="s">
        <v>211</v>
      </c>
      <c r="B38" s="36" t="s">
        <v>21</v>
      </c>
      <c r="C38" s="67">
        <v>449</v>
      </c>
      <c r="D38" s="67">
        <v>423</v>
      </c>
      <c r="E38" s="67">
        <v>472</v>
      </c>
      <c r="F38" s="36"/>
      <c r="G38" s="36"/>
      <c r="H38" s="67">
        <v>442</v>
      </c>
      <c r="I38" s="36"/>
      <c r="J38" s="36">
        <v>399</v>
      </c>
      <c r="K38" s="67">
        <v>438</v>
      </c>
      <c r="L38" s="36"/>
      <c r="M38" s="36">
        <f t="shared" si="2"/>
        <v>2623</v>
      </c>
      <c r="N38" s="36">
        <v>7</v>
      </c>
      <c r="O38" s="36">
        <v>1</v>
      </c>
      <c r="P38" s="36">
        <v>284</v>
      </c>
      <c r="Q38" s="36">
        <v>2</v>
      </c>
    </row>
    <row r="39" spans="1:17" s="32" customFormat="1" ht="15.75">
      <c r="A39" s="26" t="s">
        <v>212</v>
      </c>
      <c r="B39" s="26" t="s">
        <v>19</v>
      </c>
      <c r="C39" s="26"/>
      <c r="D39" s="26">
        <v>394</v>
      </c>
      <c r="E39" s="87">
        <v>443</v>
      </c>
      <c r="F39" s="26">
        <v>395</v>
      </c>
      <c r="G39" s="26"/>
      <c r="H39" s="87">
        <v>429</v>
      </c>
      <c r="I39" s="87">
        <v>407</v>
      </c>
      <c r="J39" s="26"/>
      <c r="K39" s="87">
        <v>443</v>
      </c>
      <c r="L39" s="26"/>
      <c r="M39" s="26">
        <f t="shared" si="2"/>
        <v>2511</v>
      </c>
      <c r="N39" s="26">
        <v>6</v>
      </c>
      <c r="O39" s="26">
        <v>2</v>
      </c>
      <c r="P39" s="26">
        <v>116</v>
      </c>
      <c r="Q39" s="26">
        <v>2</v>
      </c>
    </row>
    <row r="40" spans="1:17" s="104" customFormat="1" ht="15.75">
      <c r="A40" s="103" t="s">
        <v>213</v>
      </c>
      <c r="B40" s="103" t="s">
        <v>24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>
        <f t="shared" si="2"/>
        <v>0</v>
      </c>
      <c r="N40" s="103"/>
      <c r="O40" s="103"/>
      <c r="P40" s="103"/>
      <c r="Q40" s="103"/>
    </row>
    <row r="41" spans="1:17" s="32" customFormat="1" ht="15.75">
      <c r="A41" s="26" t="s">
        <v>214</v>
      </c>
      <c r="B41" s="26" t="s">
        <v>17</v>
      </c>
      <c r="C41" s="26">
        <v>431</v>
      </c>
      <c r="D41" s="26"/>
      <c r="E41" s="45">
        <v>431</v>
      </c>
      <c r="F41" s="26"/>
      <c r="G41" s="26"/>
      <c r="H41" s="26">
        <v>415</v>
      </c>
      <c r="I41" s="87">
        <v>437</v>
      </c>
      <c r="J41" s="87">
        <v>442</v>
      </c>
      <c r="K41" s="87">
        <v>452</v>
      </c>
      <c r="L41" s="26"/>
      <c r="M41" s="26">
        <f t="shared" si="2"/>
        <v>2608</v>
      </c>
      <c r="N41" s="26">
        <v>5</v>
      </c>
      <c r="O41" s="26">
        <v>3</v>
      </c>
      <c r="P41" s="26">
        <v>32</v>
      </c>
      <c r="Q41" s="26">
        <v>2</v>
      </c>
    </row>
    <row r="42" spans="1:17" s="41" customFormat="1" ht="15.75">
      <c r="A42" s="36" t="s">
        <v>215</v>
      </c>
      <c r="B42" s="36" t="s">
        <v>15</v>
      </c>
      <c r="C42" s="67">
        <v>427</v>
      </c>
      <c r="D42" s="36"/>
      <c r="E42" s="36">
        <v>404</v>
      </c>
      <c r="F42" s="36"/>
      <c r="G42" s="36"/>
      <c r="H42" s="36">
        <v>421</v>
      </c>
      <c r="I42" s="67">
        <v>423</v>
      </c>
      <c r="J42" s="67">
        <v>449</v>
      </c>
      <c r="K42" s="67">
        <v>464</v>
      </c>
      <c r="L42" s="36"/>
      <c r="M42" s="36">
        <f t="shared" si="2"/>
        <v>2588</v>
      </c>
      <c r="N42" s="36">
        <v>6</v>
      </c>
      <c r="O42" s="36">
        <v>2</v>
      </c>
      <c r="P42" s="36">
        <v>86</v>
      </c>
      <c r="Q42" s="36">
        <v>2</v>
      </c>
    </row>
    <row r="43" spans="1:17" s="32" customFormat="1" ht="15.75">
      <c r="A43" s="26" t="s">
        <v>216</v>
      </c>
      <c r="B43" s="26" t="s">
        <v>16</v>
      </c>
      <c r="C43" s="26">
        <v>421</v>
      </c>
      <c r="D43" s="26"/>
      <c r="E43" s="87">
        <v>428</v>
      </c>
      <c r="F43" s="26"/>
      <c r="G43" s="26"/>
      <c r="H43" s="87">
        <v>438</v>
      </c>
      <c r="I43" s="87">
        <v>428</v>
      </c>
      <c r="J43" s="26">
        <v>395</v>
      </c>
      <c r="K43" s="26">
        <v>409</v>
      </c>
      <c r="L43" s="26"/>
      <c r="M43" s="26">
        <f t="shared" si="2"/>
        <v>2519</v>
      </c>
      <c r="N43" s="26">
        <v>5</v>
      </c>
      <c r="O43" s="26">
        <v>3</v>
      </c>
      <c r="P43" s="26">
        <v>7</v>
      </c>
      <c r="Q43" s="26">
        <v>2</v>
      </c>
    </row>
    <row r="44" spans="1:17" s="41" customFormat="1" ht="16.5" thickBot="1">
      <c r="A44" s="36" t="s">
        <v>217</v>
      </c>
      <c r="B44" s="36" t="s">
        <v>28</v>
      </c>
      <c r="C44" s="36">
        <v>427</v>
      </c>
      <c r="D44" s="36">
        <v>408</v>
      </c>
      <c r="E44" s="67">
        <v>440</v>
      </c>
      <c r="F44" s="36"/>
      <c r="G44" s="36"/>
      <c r="H44" s="36">
        <v>413</v>
      </c>
      <c r="I44" s="36"/>
      <c r="J44" s="67">
        <v>440</v>
      </c>
      <c r="K44" s="36">
        <v>428</v>
      </c>
      <c r="L44" s="36"/>
      <c r="M44" s="36">
        <f t="shared" si="2"/>
        <v>2556</v>
      </c>
      <c r="N44" s="53">
        <v>2</v>
      </c>
      <c r="O44" s="53">
        <v>6</v>
      </c>
      <c r="P44" s="53">
        <v>-70</v>
      </c>
      <c r="Q44" s="53">
        <v>0</v>
      </c>
    </row>
    <row r="45" spans="14:17" ht="16.5" thickTop="1">
      <c r="N45" s="1">
        <f>SUM(N30:N44)</f>
        <v>69</v>
      </c>
      <c r="O45" s="1">
        <f>SUM(O30:O44)</f>
        <v>43</v>
      </c>
      <c r="P45" s="1">
        <f>SUM(P30:P44)</f>
        <v>604</v>
      </c>
      <c r="Q45" s="1">
        <f>SUM(Q30:Q44)</f>
        <v>20</v>
      </c>
    </row>
  </sheetData>
  <mergeCells count="9">
    <mergeCell ref="L25:M25"/>
    <mergeCell ref="I24:J24"/>
    <mergeCell ref="C22:D22"/>
    <mergeCell ref="C23:D23"/>
    <mergeCell ref="L24:M24"/>
    <mergeCell ref="C1:L1"/>
    <mergeCell ref="N1:O1"/>
    <mergeCell ref="C21:D21"/>
    <mergeCell ref="N19:O19"/>
  </mergeCells>
  <printOptions/>
  <pageMargins left="0.75" right="0.75" top="1" bottom="1" header="0.5" footer="0.5"/>
  <pageSetup orientation="portrait" paperSize="9"/>
  <ignoredErrors>
    <ignoredError sqref="D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9" zoomScaleNormal="89" workbookViewId="0" topLeftCell="B21">
      <selection activeCell="K44" sqref="K44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1.25390625" style="1" customWidth="1"/>
    <col min="4" max="4" width="9.125" style="1" customWidth="1"/>
    <col min="5" max="5" width="14.625" style="1" customWidth="1"/>
    <col min="6" max="8" width="9.125" style="1" customWidth="1"/>
    <col min="9" max="9" width="11.25390625" style="1" customWidth="1"/>
    <col min="10" max="10" width="9.125" style="1" customWidth="1"/>
    <col min="11" max="11" width="14.125" style="1" customWidth="1"/>
    <col min="12" max="12" width="9.6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125" style="1" customWidth="1"/>
    <col min="18" max="18" width="9.125" style="2" customWidth="1"/>
    <col min="19" max="19" width="15.75390625" style="2" bestFit="1" customWidth="1"/>
  </cols>
  <sheetData>
    <row r="1" spans="3:20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  <c r="T1" s="2"/>
    </row>
    <row r="2" spans="2:17" ht="32.25" customHeight="1" thickBot="1">
      <c r="B2" s="3" t="s">
        <v>30</v>
      </c>
      <c r="C2" s="13"/>
      <c r="D2" s="13" t="s">
        <v>42</v>
      </c>
      <c r="E2" s="13" t="s">
        <v>43</v>
      </c>
      <c r="F2" s="13" t="s">
        <v>44</v>
      </c>
      <c r="G2" s="13" t="s">
        <v>171</v>
      </c>
      <c r="H2" s="13" t="s">
        <v>45</v>
      </c>
      <c r="I2" s="13" t="s">
        <v>46</v>
      </c>
      <c r="J2" s="13" t="s">
        <v>47</v>
      </c>
      <c r="K2" s="13" t="s">
        <v>48</v>
      </c>
      <c r="L2" s="13" t="s">
        <v>192</v>
      </c>
      <c r="M2" s="3" t="s">
        <v>39</v>
      </c>
      <c r="N2" s="3" t="s">
        <v>41</v>
      </c>
      <c r="O2" s="3" t="s">
        <v>38</v>
      </c>
      <c r="P2" s="3" t="s">
        <v>40</v>
      </c>
      <c r="Q2" s="15" t="s">
        <v>143</v>
      </c>
    </row>
    <row r="3" spans="1:19" s="32" customFormat="1" ht="15.75">
      <c r="A3" s="26" t="s">
        <v>0</v>
      </c>
      <c r="B3" s="26" t="s">
        <v>25</v>
      </c>
      <c r="C3" s="58"/>
      <c r="D3" s="62">
        <v>401</v>
      </c>
      <c r="E3" s="58"/>
      <c r="F3" s="66">
        <v>417</v>
      </c>
      <c r="G3" s="66">
        <v>437</v>
      </c>
      <c r="H3" s="66">
        <v>455</v>
      </c>
      <c r="I3" s="66">
        <v>437</v>
      </c>
      <c r="J3" s="58"/>
      <c r="K3" s="66">
        <v>451</v>
      </c>
      <c r="L3" s="49"/>
      <c r="M3" s="30">
        <f>SUM(C3:L3)</f>
        <v>2598</v>
      </c>
      <c r="N3" s="26">
        <v>7</v>
      </c>
      <c r="O3" s="26">
        <v>1</v>
      </c>
      <c r="P3" s="26">
        <v>315</v>
      </c>
      <c r="Q3" s="26">
        <v>2</v>
      </c>
      <c r="R3" s="31"/>
      <c r="S3" s="31"/>
    </row>
    <row r="4" spans="1:19" s="32" customFormat="1" ht="15.75">
      <c r="A4" s="26" t="s">
        <v>1</v>
      </c>
      <c r="B4" s="26" t="s">
        <v>29</v>
      </c>
      <c r="C4" s="58"/>
      <c r="D4" s="62"/>
      <c r="E4" s="58"/>
      <c r="F4" s="66">
        <v>442</v>
      </c>
      <c r="G4" s="66">
        <v>459</v>
      </c>
      <c r="H4" s="66">
        <v>432</v>
      </c>
      <c r="I4" s="58">
        <v>413</v>
      </c>
      <c r="J4" s="58">
        <v>403</v>
      </c>
      <c r="K4" s="58">
        <v>430</v>
      </c>
      <c r="L4" s="49"/>
      <c r="M4" s="30">
        <f aca="true" t="shared" si="0" ref="M4:M17">SUM(C4:L4)</f>
        <v>2579</v>
      </c>
      <c r="N4" s="26">
        <v>3</v>
      </c>
      <c r="O4" s="26">
        <v>5</v>
      </c>
      <c r="P4" s="26">
        <v>-20</v>
      </c>
      <c r="Q4" s="26">
        <v>0</v>
      </c>
      <c r="R4" s="31"/>
      <c r="S4" s="31"/>
    </row>
    <row r="5" spans="1:19" s="41" customFormat="1" ht="15.75">
      <c r="A5" s="36" t="s">
        <v>2</v>
      </c>
      <c r="B5" s="36" t="s">
        <v>31</v>
      </c>
      <c r="C5" s="59"/>
      <c r="D5" s="64">
        <v>385</v>
      </c>
      <c r="E5" s="64"/>
      <c r="F5" s="72">
        <v>458</v>
      </c>
      <c r="G5" s="59">
        <v>418</v>
      </c>
      <c r="H5" s="72">
        <v>476</v>
      </c>
      <c r="I5" s="59">
        <v>408</v>
      </c>
      <c r="J5" s="59"/>
      <c r="K5" s="72">
        <v>460</v>
      </c>
      <c r="L5" s="54"/>
      <c r="M5" s="39">
        <f t="shared" si="0"/>
        <v>2605</v>
      </c>
      <c r="N5" s="36">
        <v>3</v>
      </c>
      <c r="O5" s="36">
        <v>5</v>
      </c>
      <c r="P5" s="36">
        <v>-169</v>
      </c>
      <c r="Q5" s="36">
        <v>0</v>
      </c>
      <c r="R5" s="40"/>
      <c r="S5" s="40"/>
    </row>
    <row r="6" spans="1:19" s="32" customFormat="1" ht="15.75">
      <c r="A6" s="26" t="s">
        <v>3</v>
      </c>
      <c r="B6" s="26" t="s">
        <v>18</v>
      </c>
      <c r="C6" s="58"/>
      <c r="D6" s="62"/>
      <c r="E6" s="62"/>
      <c r="F6" s="58">
        <v>403</v>
      </c>
      <c r="G6" s="66">
        <v>459</v>
      </c>
      <c r="H6" s="66">
        <v>448</v>
      </c>
      <c r="I6" s="66">
        <v>433</v>
      </c>
      <c r="J6" s="66">
        <v>452</v>
      </c>
      <c r="K6" s="66">
        <v>424</v>
      </c>
      <c r="L6" s="49"/>
      <c r="M6" s="30">
        <f t="shared" si="0"/>
        <v>2619</v>
      </c>
      <c r="N6" s="26">
        <v>7</v>
      </c>
      <c r="O6" s="26">
        <v>1</v>
      </c>
      <c r="P6" s="26">
        <v>140</v>
      </c>
      <c r="Q6" s="26">
        <v>2</v>
      </c>
      <c r="R6" s="31"/>
      <c r="S6" s="31"/>
    </row>
    <row r="7" spans="1:19" s="41" customFormat="1" ht="15.75">
      <c r="A7" s="36" t="s">
        <v>4</v>
      </c>
      <c r="B7" s="36" t="s">
        <v>23</v>
      </c>
      <c r="C7" s="59"/>
      <c r="D7" s="64">
        <v>416</v>
      </c>
      <c r="E7" s="64"/>
      <c r="F7" s="59"/>
      <c r="G7" s="72">
        <v>438</v>
      </c>
      <c r="H7" s="72">
        <v>448</v>
      </c>
      <c r="I7" s="72">
        <v>451</v>
      </c>
      <c r="J7" s="59">
        <v>391</v>
      </c>
      <c r="K7" s="59">
        <v>419</v>
      </c>
      <c r="L7" s="54"/>
      <c r="M7" s="39">
        <f t="shared" si="0"/>
        <v>2563</v>
      </c>
      <c r="N7" s="36">
        <v>5</v>
      </c>
      <c r="O7" s="36">
        <v>3</v>
      </c>
      <c r="P7" s="36">
        <v>15</v>
      </c>
      <c r="Q7" s="36">
        <v>2</v>
      </c>
      <c r="R7" s="40"/>
      <c r="S7" s="40"/>
    </row>
    <row r="8" spans="1:19" s="41" customFormat="1" ht="15.75">
      <c r="A8" s="36" t="s">
        <v>5</v>
      </c>
      <c r="B8" s="36" t="s">
        <v>27</v>
      </c>
      <c r="C8" s="68"/>
      <c r="D8" s="64">
        <v>419</v>
      </c>
      <c r="E8" s="64"/>
      <c r="F8" s="81">
        <v>442</v>
      </c>
      <c r="G8" s="68">
        <v>405</v>
      </c>
      <c r="H8" s="68">
        <v>415</v>
      </c>
      <c r="I8" s="81">
        <v>437</v>
      </c>
      <c r="J8" s="81">
        <v>451</v>
      </c>
      <c r="K8" s="68"/>
      <c r="L8" s="54"/>
      <c r="M8" s="39">
        <f t="shared" si="0"/>
        <v>2569</v>
      </c>
      <c r="N8" s="36">
        <v>5</v>
      </c>
      <c r="O8" s="36">
        <v>3</v>
      </c>
      <c r="P8" s="36">
        <v>10</v>
      </c>
      <c r="Q8" s="36">
        <v>2</v>
      </c>
      <c r="R8" s="40"/>
      <c r="S8" s="40"/>
    </row>
    <row r="9" spans="1:19" s="32" customFormat="1" ht="15.75">
      <c r="A9" s="26" t="s">
        <v>6</v>
      </c>
      <c r="B9" s="26" t="s">
        <v>20</v>
      </c>
      <c r="C9" s="58"/>
      <c r="D9" s="62">
        <v>410</v>
      </c>
      <c r="E9" s="66">
        <v>214</v>
      </c>
      <c r="F9" s="58">
        <v>422</v>
      </c>
      <c r="G9" s="58"/>
      <c r="H9" s="66">
        <v>456</v>
      </c>
      <c r="I9" s="66">
        <v>459</v>
      </c>
      <c r="J9" s="66">
        <v>433</v>
      </c>
      <c r="K9" s="58"/>
      <c r="L9" s="88">
        <v>212</v>
      </c>
      <c r="M9" s="30">
        <f t="shared" si="0"/>
        <v>2606</v>
      </c>
      <c r="N9" s="26">
        <v>6</v>
      </c>
      <c r="O9" s="26">
        <v>2</v>
      </c>
      <c r="P9" s="26">
        <v>126</v>
      </c>
      <c r="Q9" s="26">
        <v>2</v>
      </c>
      <c r="R9" s="31"/>
      <c r="S9" s="31"/>
    </row>
    <row r="10" spans="1:19" s="41" customFormat="1" ht="15.75">
      <c r="A10" s="36" t="s">
        <v>7</v>
      </c>
      <c r="B10" s="36" t="s">
        <v>28</v>
      </c>
      <c r="C10" s="59"/>
      <c r="D10" s="64"/>
      <c r="E10" s="64"/>
      <c r="F10" s="59">
        <v>421</v>
      </c>
      <c r="G10" s="72">
        <v>500</v>
      </c>
      <c r="H10" s="59">
        <v>429</v>
      </c>
      <c r="I10" s="72">
        <v>452</v>
      </c>
      <c r="J10" s="59">
        <v>399</v>
      </c>
      <c r="K10" s="72">
        <v>445</v>
      </c>
      <c r="L10" s="54"/>
      <c r="M10" s="39">
        <f t="shared" si="0"/>
        <v>2646</v>
      </c>
      <c r="N10" s="36">
        <v>3</v>
      </c>
      <c r="O10" s="36">
        <v>5</v>
      </c>
      <c r="P10" s="36">
        <v>-8</v>
      </c>
      <c r="Q10" s="36">
        <v>0</v>
      </c>
      <c r="R10" s="40"/>
      <c r="S10" s="40"/>
    </row>
    <row r="11" spans="1:19" s="32" customFormat="1" ht="15.75">
      <c r="A11" s="26" t="s">
        <v>8</v>
      </c>
      <c r="B11" s="26" t="s">
        <v>16</v>
      </c>
      <c r="C11" s="58"/>
      <c r="D11" s="62">
        <v>423</v>
      </c>
      <c r="E11" s="66">
        <v>440</v>
      </c>
      <c r="F11" s="58"/>
      <c r="G11" s="58">
        <v>427</v>
      </c>
      <c r="H11" s="58">
        <v>404</v>
      </c>
      <c r="I11" s="66">
        <v>431</v>
      </c>
      <c r="J11" s="58"/>
      <c r="K11" s="58">
        <v>408</v>
      </c>
      <c r="L11" s="49"/>
      <c r="M11" s="30">
        <f t="shared" si="0"/>
        <v>2533</v>
      </c>
      <c r="N11" s="26">
        <v>2</v>
      </c>
      <c r="O11" s="26">
        <v>6</v>
      </c>
      <c r="P11" s="26">
        <v>-39</v>
      </c>
      <c r="Q11" s="26">
        <v>0</v>
      </c>
      <c r="R11" s="31"/>
      <c r="S11" s="31"/>
    </row>
    <row r="12" spans="1:19" s="41" customFormat="1" ht="15.75">
      <c r="A12" s="36" t="s">
        <v>9</v>
      </c>
      <c r="B12" s="36" t="s">
        <v>15</v>
      </c>
      <c r="C12" s="59"/>
      <c r="D12" s="64"/>
      <c r="E12" s="72">
        <v>441</v>
      </c>
      <c r="F12" s="59"/>
      <c r="G12" s="59">
        <v>432</v>
      </c>
      <c r="H12" s="72">
        <v>432</v>
      </c>
      <c r="I12" s="59">
        <v>404</v>
      </c>
      <c r="J12" s="72">
        <v>446</v>
      </c>
      <c r="K12" s="72">
        <v>452</v>
      </c>
      <c r="L12" s="54"/>
      <c r="M12" s="39">
        <f>SUM(C12:L12)</f>
        <v>2607</v>
      </c>
      <c r="N12" s="36">
        <v>6</v>
      </c>
      <c r="O12" s="36">
        <v>2</v>
      </c>
      <c r="P12" s="36">
        <v>13</v>
      </c>
      <c r="Q12" s="36">
        <v>2</v>
      </c>
      <c r="R12" s="40"/>
      <c r="S12" s="40"/>
    </row>
    <row r="13" spans="1:19" s="32" customFormat="1" ht="15.75">
      <c r="A13" s="26" t="s">
        <v>10</v>
      </c>
      <c r="B13" s="26" t="s">
        <v>17</v>
      </c>
      <c r="C13" s="58"/>
      <c r="D13" s="66">
        <v>436</v>
      </c>
      <c r="E13" s="58"/>
      <c r="F13" s="58">
        <v>392</v>
      </c>
      <c r="G13" s="66">
        <v>459</v>
      </c>
      <c r="H13" s="66">
        <v>461</v>
      </c>
      <c r="I13" s="58">
        <v>411</v>
      </c>
      <c r="J13" s="58">
        <v>433</v>
      </c>
      <c r="K13" s="58"/>
      <c r="L13" s="49"/>
      <c r="M13" s="30">
        <f t="shared" si="0"/>
        <v>2592</v>
      </c>
      <c r="N13" s="26">
        <v>5</v>
      </c>
      <c r="O13" s="26">
        <v>3</v>
      </c>
      <c r="P13" s="26">
        <v>101</v>
      </c>
      <c r="Q13" s="26">
        <v>2</v>
      </c>
      <c r="R13" s="31"/>
      <c r="S13" s="31"/>
    </row>
    <row r="14" spans="1:13" ht="15.75">
      <c r="A14" s="1" t="s">
        <v>11</v>
      </c>
      <c r="B14" s="14" t="s">
        <v>24</v>
      </c>
      <c r="C14" s="60"/>
      <c r="D14" s="65"/>
      <c r="E14" s="60"/>
      <c r="F14" s="60"/>
      <c r="G14" s="60"/>
      <c r="H14" s="60"/>
      <c r="I14" s="60"/>
      <c r="J14" s="60"/>
      <c r="K14" s="60"/>
      <c r="L14" s="18"/>
      <c r="M14" s="7">
        <f t="shared" si="0"/>
        <v>0</v>
      </c>
    </row>
    <row r="15" spans="1:19" s="32" customFormat="1" ht="15.75">
      <c r="A15" s="26" t="s">
        <v>12</v>
      </c>
      <c r="B15" s="26" t="s">
        <v>19</v>
      </c>
      <c r="C15" s="58"/>
      <c r="D15" s="66">
        <v>428</v>
      </c>
      <c r="E15" s="58"/>
      <c r="F15" s="58"/>
      <c r="G15" s="66">
        <v>428</v>
      </c>
      <c r="H15" s="66">
        <v>461</v>
      </c>
      <c r="I15" s="66">
        <v>443</v>
      </c>
      <c r="J15" s="66">
        <v>449</v>
      </c>
      <c r="K15" s="58">
        <v>428</v>
      </c>
      <c r="L15" s="49"/>
      <c r="M15" s="30">
        <f t="shared" si="0"/>
        <v>2637</v>
      </c>
      <c r="N15" s="26">
        <v>7</v>
      </c>
      <c r="O15" s="26">
        <v>1</v>
      </c>
      <c r="P15" s="30">
        <f>M15-2351</f>
        <v>286</v>
      </c>
      <c r="Q15" s="26">
        <v>2</v>
      </c>
      <c r="R15" s="31"/>
      <c r="S15" s="31"/>
    </row>
    <row r="16" spans="1:19" s="41" customFormat="1" ht="15.75">
      <c r="A16" s="36" t="s">
        <v>13</v>
      </c>
      <c r="B16" s="36" t="s">
        <v>21</v>
      </c>
      <c r="C16" s="59"/>
      <c r="D16" s="64">
        <v>192</v>
      </c>
      <c r="E16" s="64"/>
      <c r="F16" s="59">
        <v>405</v>
      </c>
      <c r="G16" s="72">
        <v>408</v>
      </c>
      <c r="H16" s="72">
        <v>410</v>
      </c>
      <c r="I16" s="59"/>
      <c r="J16" s="72">
        <v>429</v>
      </c>
      <c r="K16" s="59">
        <v>183</v>
      </c>
      <c r="L16" s="54">
        <v>378</v>
      </c>
      <c r="M16" s="39">
        <f t="shared" si="0"/>
        <v>2405</v>
      </c>
      <c r="N16" s="36">
        <v>5</v>
      </c>
      <c r="O16" s="36">
        <v>3</v>
      </c>
      <c r="P16" s="36">
        <v>52</v>
      </c>
      <c r="Q16" s="36">
        <v>2</v>
      </c>
      <c r="R16" s="40"/>
      <c r="S16" s="40"/>
    </row>
    <row r="17" spans="1:19" s="32" customFormat="1" ht="16.5" thickBot="1">
      <c r="A17" s="26" t="s">
        <v>14</v>
      </c>
      <c r="B17" s="26" t="s">
        <v>33</v>
      </c>
      <c r="C17" s="69"/>
      <c r="D17" s="71"/>
      <c r="E17" s="101">
        <v>441</v>
      </c>
      <c r="F17" s="69"/>
      <c r="G17" s="69"/>
      <c r="H17" s="101">
        <v>442</v>
      </c>
      <c r="I17" s="69">
        <v>415</v>
      </c>
      <c r="J17" s="69">
        <v>399</v>
      </c>
      <c r="K17" s="101">
        <v>424</v>
      </c>
      <c r="L17" s="70">
        <v>374</v>
      </c>
      <c r="M17" s="34">
        <f t="shared" si="0"/>
        <v>2495</v>
      </c>
      <c r="N17" s="35">
        <v>5</v>
      </c>
      <c r="O17" s="35">
        <v>3</v>
      </c>
      <c r="P17" s="35">
        <v>42</v>
      </c>
      <c r="Q17" s="35">
        <v>2</v>
      </c>
      <c r="R17" s="31"/>
      <c r="S17" s="31"/>
    </row>
    <row r="18" spans="3:12" ht="16.5" thickTop="1">
      <c r="C18" s="7">
        <f>SUM(C3:C17)</f>
        <v>0</v>
      </c>
      <c r="D18" s="7">
        <f>SUM(D3:D17)</f>
        <v>3510</v>
      </c>
      <c r="E18" s="7">
        <f>SUM(E3:E17)</f>
        <v>1536</v>
      </c>
      <c r="F18" s="7">
        <f>SUM(F3:F17)</f>
        <v>3802</v>
      </c>
      <c r="G18" s="7">
        <f aca="true" t="shared" si="1" ref="G18:L18">SUM(G3:G17)</f>
        <v>5270</v>
      </c>
      <c r="H18" s="7">
        <f t="shared" si="1"/>
        <v>6169</v>
      </c>
      <c r="I18" s="7">
        <f t="shared" si="1"/>
        <v>5594</v>
      </c>
      <c r="J18" s="7">
        <f t="shared" si="1"/>
        <v>4685</v>
      </c>
      <c r="K18" s="7">
        <f t="shared" si="1"/>
        <v>4524</v>
      </c>
      <c r="L18" s="7">
        <f t="shared" si="1"/>
        <v>964</v>
      </c>
    </row>
    <row r="19" spans="2:19" ht="30" customHeight="1">
      <c r="B19" s="16" t="s">
        <v>163</v>
      </c>
      <c r="C19" s="22"/>
      <c r="D19" s="22">
        <f>D18/8.5</f>
        <v>412.94117647058823</v>
      </c>
      <c r="E19" s="22">
        <f>E18/3.5</f>
        <v>438.85714285714283</v>
      </c>
      <c r="F19" s="22">
        <f>F18/9</f>
        <v>422.44444444444446</v>
      </c>
      <c r="G19" s="22">
        <f>G18/12</f>
        <v>439.1666666666667</v>
      </c>
      <c r="H19" s="22">
        <f>H18/14</f>
        <v>440.64285714285717</v>
      </c>
      <c r="I19" s="22">
        <f>I18/13</f>
        <v>430.3076923076923</v>
      </c>
      <c r="J19" s="22">
        <f>J18/11</f>
        <v>425.90909090909093</v>
      </c>
      <c r="K19" s="22">
        <f>K18/10.5</f>
        <v>430.85714285714283</v>
      </c>
      <c r="L19" s="22">
        <f>L18/2.5</f>
        <v>385.6</v>
      </c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36054</v>
      </c>
      <c r="N20" s="1">
        <f>SUM(N3:N17)</f>
        <v>69</v>
      </c>
      <c r="O20" s="1">
        <f>SUM(O3:O17)</f>
        <v>43</v>
      </c>
      <c r="P20" s="1">
        <f>SUM(P3:P17)</f>
        <v>864</v>
      </c>
      <c r="Q20" s="1">
        <f>SUM(Q3:Q17)</f>
        <v>20</v>
      </c>
      <c r="S20" s="2">
        <f>N20-O20</f>
        <v>26</v>
      </c>
    </row>
    <row r="21" spans="3:4" ht="15.75">
      <c r="C21" s="119" t="s">
        <v>52</v>
      </c>
      <c r="D21" s="119"/>
    </row>
    <row r="22" spans="3:14" ht="15.75">
      <c r="C22" s="116" t="s">
        <v>168</v>
      </c>
      <c r="D22" s="116"/>
      <c r="M22" s="1" t="s">
        <v>164</v>
      </c>
      <c r="N22" s="24">
        <f>M20/14</f>
        <v>2575.285714285714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9:13" ht="15.75">
      <c r="I25" s="1">
        <f>N20+N45</f>
        <v>130</v>
      </c>
      <c r="J25" s="1">
        <f>O20+O45</f>
        <v>94</v>
      </c>
      <c r="K25" s="1">
        <f>Q20+Q45</f>
        <v>37</v>
      </c>
      <c r="L25" s="115">
        <f>I25-J25</f>
        <v>36</v>
      </c>
      <c r="M25" s="115"/>
    </row>
    <row r="26" spans="1:5" ht="15.75">
      <c r="A26" s="92" t="s">
        <v>183</v>
      </c>
      <c r="B26" s="86"/>
      <c r="C26" s="94" t="s">
        <v>189</v>
      </c>
      <c r="D26" s="86" t="s">
        <v>185</v>
      </c>
      <c r="E26" s="93" t="s">
        <v>186</v>
      </c>
    </row>
    <row r="27" spans="1:5" ht="15.75">
      <c r="A27" s="92"/>
      <c r="B27" s="86"/>
      <c r="C27" s="94"/>
      <c r="D27" s="86"/>
      <c r="E27" s="93"/>
    </row>
    <row r="28" spans="1:5" ht="15.75">
      <c r="A28" s="92"/>
      <c r="B28" s="86"/>
      <c r="C28" s="94"/>
      <c r="D28" s="86"/>
      <c r="E28" s="93"/>
    </row>
    <row r="29" spans="2:17" ht="32.25" customHeight="1" thickBot="1">
      <c r="B29" s="109" t="s">
        <v>30</v>
      </c>
      <c r="C29" s="13" t="s">
        <v>203</v>
      </c>
      <c r="D29" s="13" t="s">
        <v>42</v>
      </c>
      <c r="E29" s="13" t="s">
        <v>43</v>
      </c>
      <c r="F29" s="13" t="s">
        <v>44</v>
      </c>
      <c r="G29" s="13" t="s">
        <v>218</v>
      </c>
      <c r="H29" s="13" t="s">
        <v>45</v>
      </c>
      <c r="I29" s="13" t="s">
        <v>46</v>
      </c>
      <c r="J29" s="13" t="s">
        <v>47</v>
      </c>
      <c r="K29" s="13" t="s">
        <v>48</v>
      </c>
      <c r="L29" s="13" t="s">
        <v>192</v>
      </c>
      <c r="M29" s="3" t="s">
        <v>39</v>
      </c>
      <c r="N29" s="3" t="s">
        <v>41</v>
      </c>
      <c r="O29" s="3" t="s">
        <v>38</v>
      </c>
      <c r="P29" s="3" t="s">
        <v>40</v>
      </c>
      <c r="Q29" s="15" t="s">
        <v>143</v>
      </c>
    </row>
    <row r="30" spans="1:17" ht="15.75">
      <c r="A30" s="26" t="s">
        <v>198</v>
      </c>
      <c r="B30" s="26" t="s">
        <v>28</v>
      </c>
      <c r="C30" s="26"/>
      <c r="D30" s="87">
        <v>424</v>
      </c>
      <c r="E30" s="87">
        <v>440</v>
      </c>
      <c r="F30" s="26"/>
      <c r="G30" s="26"/>
      <c r="H30" s="87">
        <v>433</v>
      </c>
      <c r="I30" s="26">
        <v>407</v>
      </c>
      <c r="J30" s="26">
        <v>416</v>
      </c>
      <c r="K30" s="87">
        <v>428</v>
      </c>
      <c r="L30" s="26"/>
      <c r="M30" s="26">
        <f>SUM(D30:K30)</f>
        <v>2548</v>
      </c>
      <c r="N30" s="26">
        <v>4</v>
      </c>
      <c r="O30" s="26">
        <v>4</v>
      </c>
      <c r="P30" s="26">
        <f>M30-2559</f>
        <v>-11</v>
      </c>
      <c r="Q30" s="26">
        <v>1</v>
      </c>
    </row>
    <row r="31" spans="1:19" s="41" customFormat="1" ht="15.75">
      <c r="A31" s="36" t="s">
        <v>202</v>
      </c>
      <c r="B31" s="36" t="s">
        <v>20</v>
      </c>
      <c r="C31" s="67">
        <v>458</v>
      </c>
      <c r="D31" s="36">
        <v>415</v>
      </c>
      <c r="E31" s="36"/>
      <c r="F31" s="36">
        <v>377</v>
      </c>
      <c r="G31" s="36"/>
      <c r="H31" s="67">
        <v>433</v>
      </c>
      <c r="I31" s="36"/>
      <c r="J31" s="36">
        <v>412</v>
      </c>
      <c r="K31" s="67">
        <v>422</v>
      </c>
      <c r="L31" s="36"/>
      <c r="M31" s="36">
        <f>SUM(C31:K31)</f>
        <v>2517</v>
      </c>
      <c r="N31" s="36">
        <v>3</v>
      </c>
      <c r="O31" s="36">
        <v>5</v>
      </c>
      <c r="P31" s="36">
        <v>-64</v>
      </c>
      <c r="Q31" s="36">
        <v>0</v>
      </c>
      <c r="R31" s="40"/>
      <c r="S31" s="40"/>
    </row>
    <row r="32" spans="1:19" s="32" customFormat="1" ht="15.75">
      <c r="A32" s="26" t="s">
        <v>204</v>
      </c>
      <c r="B32" s="26" t="s">
        <v>27</v>
      </c>
      <c r="C32" s="26">
        <v>421</v>
      </c>
      <c r="D32" s="26">
        <v>411</v>
      </c>
      <c r="E32" s="87">
        <v>483</v>
      </c>
      <c r="F32" s="26"/>
      <c r="G32" s="26"/>
      <c r="H32" s="26">
        <v>428</v>
      </c>
      <c r="I32" s="26">
        <v>403</v>
      </c>
      <c r="J32" s="26"/>
      <c r="K32" s="87">
        <v>438</v>
      </c>
      <c r="L32" s="26"/>
      <c r="M32" s="26">
        <f>SUM(C32:K32)</f>
        <v>2584</v>
      </c>
      <c r="N32" s="26">
        <v>2</v>
      </c>
      <c r="O32" s="26">
        <v>6</v>
      </c>
      <c r="P32" s="26">
        <v>-58</v>
      </c>
      <c r="Q32" s="26">
        <v>0</v>
      </c>
      <c r="R32" s="31"/>
      <c r="S32" s="31"/>
    </row>
    <row r="33" spans="1:19" s="32" customFormat="1" ht="15.75">
      <c r="A33" s="26" t="s">
        <v>205</v>
      </c>
      <c r="B33" s="26" t="s">
        <v>23</v>
      </c>
      <c r="C33" s="26">
        <v>415</v>
      </c>
      <c r="D33" s="26">
        <v>420</v>
      </c>
      <c r="E33" s="26"/>
      <c r="F33" s="26"/>
      <c r="G33" s="26"/>
      <c r="H33" s="87">
        <v>469</v>
      </c>
      <c r="I33" s="26">
        <v>414</v>
      </c>
      <c r="J33" s="26">
        <v>410</v>
      </c>
      <c r="K33" s="87">
        <v>439</v>
      </c>
      <c r="L33" s="26"/>
      <c r="M33" s="26">
        <f>SUM(C33:K33)</f>
        <v>2567</v>
      </c>
      <c r="N33" s="26">
        <v>2</v>
      </c>
      <c r="O33" s="26">
        <v>6</v>
      </c>
      <c r="P33" s="26">
        <v>-55</v>
      </c>
      <c r="Q33" s="26">
        <v>0</v>
      </c>
      <c r="R33" s="31"/>
      <c r="S33" s="31"/>
    </row>
    <row r="34" spans="1:19" s="41" customFormat="1" ht="15.75">
      <c r="A34" s="36" t="s">
        <v>207</v>
      </c>
      <c r="B34" s="36" t="s">
        <v>18</v>
      </c>
      <c r="C34" s="36"/>
      <c r="D34" s="67">
        <v>429</v>
      </c>
      <c r="E34" s="36"/>
      <c r="F34" s="67">
        <v>437</v>
      </c>
      <c r="G34" s="36"/>
      <c r="H34" s="36">
        <v>404</v>
      </c>
      <c r="I34" s="36">
        <v>409</v>
      </c>
      <c r="J34" s="36">
        <v>416</v>
      </c>
      <c r="K34" s="67">
        <v>417</v>
      </c>
      <c r="L34" s="36"/>
      <c r="M34" s="36">
        <f>SUM(C34:K34)</f>
        <v>2512</v>
      </c>
      <c r="N34" s="36">
        <v>3</v>
      </c>
      <c r="O34" s="36">
        <v>5</v>
      </c>
      <c r="P34" s="36">
        <v>-32</v>
      </c>
      <c r="Q34" s="36">
        <v>0</v>
      </c>
      <c r="R34" s="40"/>
      <c r="S34" s="40"/>
    </row>
    <row r="35" spans="1:19" s="32" customFormat="1" ht="15.75">
      <c r="A35" s="26" t="s">
        <v>208</v>
      </c>
      <c r="B35" s="26" t="s">
        <v>31</v>
      </c>
      <c r="C35" s="26">
        <v>429</v>
      </c>
      <c r="D35" s="87">
        <v>457</v>
      </c>
      <c r="E35" s="87">
        <v>467</v>
      </c>
      <c r="F35" s="26">
        <v>418</v>
      </c>
      <c r="G35" s="26"/>
      <c r="H35" s="26">
        <v>433</v>
      </c>
      <c r="I35" s="26"/>
      <c r="J35" s="26"/>
      <c r="K35" s="87">
        <v>452</v>
      </c>
      <c r="L35" s="26"/>
      <c r="M35" s="26">
        <f aca="true" t="shared" si="2" ref="M35:M44">SUM(C35:K35)</f>
        <v>2656</v>
      </c>
      <c r="N35" s="26">
        <v>5</v>
      </c>
      <c r="O35" s="26">
        <v>3</v>
      </c>
      <c r="P35" s="26">
        <v>3</v>
      </c>
      <c r="Q35" s="26">
        <v>2</v>
      </c>
      <c r="R35" s="31"/>
      <c r="S35" s="31"/>
    </row>
    <row r="36" spans="1:19" s="41" customFormat="1" ht="15.75">
      <c r="A36" s="36" t="s">
        <v>209</v>
      </c>
      <c r="B36" s="36" t="s">
        <v>29</v>
      </c>
      <c r="C36" s="36">
        <v>436</v>
      </c>
      <c r="D36" s="36">
        <v>423</v>
      </c>
      <c r="E36" s="67">
        <v>485</v>
      </c>
      <c r="F36" s="36"/>
      <c r="G36" s="36"/>
      <c r="H36" s="67">
        <v>462</v>
      </c>
      <c r="I36" s="36"/>
      <c r="J36" s="67">
        <v>460</v>
      </c>
      <c r="K36" s="36">
        <v>420</v>
      </c>
      <c r="L36" s="36"/>
      <c r="M36" s="36">
        <f t="shared" si="2"/>
        <v>2686</v>
      </c>
      <c r="N36" s="36">
        <v>5</v>
      </c>
      <c r="O36" s="36">
        <v>3</v>
      </c>
      <c r="P36" s="36">
        <v>50</v>
      </c>
      <c r="Q36" s="36">
        <v>2</v>
      </c>
      <c r="R36" s="40"/>
      <c r="S36" s="40"/>
    </row>
    <row r="37" spans="1:19" s="41" customFormat="1" ht="15.75">
      <c r="A37" s="36" t="s">
        <v>210</v>
      </c>
      <c r="B37" s="36" t="s">
        <v>25</v>
      </c>
      <c r="C37" s="36"/>
      <c r="D37" s="67">
        <v>428</v>
      </c>
      <c r="E37" s="36"/>
      <c r="F37" s="67">
        <v>402</v>
      </c>
      <c r="G37" s="36"/>
      <c r="H37" s="67">
        <v>400</v>
      </c>
      <c r="I37" s="67">
        <v>394</v>
      </c>
      <c r="J37" s="67">
        <v>426</v>
      </c>
      <c r="K37" s="36"/>
      <c r="L37" s="36">
        <v>380</v>
      </c>
      <c r="M37" s="36">
        <f>SUM(C37:L37)</f>
        <v>2430</v>
      </c>
      <c r="N37" s="36">
        <v>7</v>
      </c>
      <c r="O37" s="36">
        <v>1</v>
      </c>
      <c r="P37" s="36">
        <v>126</v>
      </c>
      <c r="Q37" s="36">
        <v>2</v>
      </c>
      <c r="R37" s="40"/>
      <c r="S37" s="40"/>
    </row>
    <row r="38" spans="1:19" s="41" customFormat="1" ht="15.75">
      <c r="A38" s="36" t="s">
        <v>211</v>
      </c>
      <c r="B38" s="36" t="s">
        <v>33</v>
      </c>
      <c r="C38" s="67">
        <v>437</v>
      </c>
      <c r="D38" s="67">
        <v>443</v>
      </c>
      <c r="E38" s="67">
        <v>463</v>
      </c>
      <c r="F38" s="36"/>
      <c r="G38" s="36"/>
      <c r="H38" s="42">
        <v>431</v>
      </c>
      <c r="I38" s="36"/>
      <c r="J38" s="36">
        <v>434</v>
      </c>
      <c r="K38" s="36">
        <v>418</v>
      </c>
      <c r="L38" s="36"/>
      <c r="M38" s="36">
        <f t="shared" si="2"/>
        <v>2626</v>
      </c>
      <c r="N38" s="36">
        <v>5</v>
      </c>
      <c r="O38" s="36">
        <v>3</v>
      </c>
      <c r="P38" s="36">
        <v>52</v>
      </c>
      <c r="Q38" s="36">
        <v>2</v>
      </c>
      <c r="R38" s="40"/>
      <c r="S38" s="40"/>
    </row>
    <row r="39" spans="1:19" s="32" customFormat="1" ht="15.75">
      <c r="A39" s="26" t="s">
        <v>212</v>
      </c>
      <c r="B39" s="26" t="s">
        <v>21</v>
      </c>
      <c r="C39" s="87">
        <v>453</v>
      </c>
      <c r="D39" s="26">
        <v>219</v>
      </c>
      <c r="E39" s="26"/>
      <c r="F39" s="26">
        <v>395</v>
      </c>
      <c r="G39" s="26">
        <v>197</v>
      </c>
      <c r="H39" s="87">
        <v>420</v>
      </c>
      <c r="I39" s="87">
        <v>437</v>
      </c>
      <c r="J39" s="87">
        <v>428</v>
      </c>
      <c r="K39" s="26"/>
      <c r="L39" s="26"/>
      <c r="M39" s="26">
        <f t="shared" si="2"/>
        <v>2549</v>
      </c>
      <c r="N39" s="26">
        <v>6</v>
      </c>
      <c r="O39" s="26">
        <v>2</v>
      </c>
      <c r="P39" s="26">
        <v>60</v>
      </c>
      <c r="Q39" s="26">
        <v>2</v>
      </c>
      <c r="R39" s="31"/>
      <c r="S39" s="31"/>
    </row>
    <row r="40" spans="1:19" s="41" customFormat="1" ht="15.75">
      <c r="A40" s="36" t="s">
        <v>213</v>
      </c>
      <c r="B40" s="36" t="s">
        <v>19</v>
      </c>
      <c r="C40" s="36"/>
      <c r="D40" s="36">
        <v>394</v>
      </c>
      <c r="E40" s="67">
        <v>434</v>
      </c>
      <c r="F40" s="67">
        <v>420</v>
      </c>
      <c r="G40" s="67">
        <v>443</v>
      </c>
      <c r="H40" s="36"/>
      <c r="I40" s="36">
        <v>405</v>
      </c>
      <c r="J40" s="67">
        <v>409</v>
      </c>
      <c r="K40" s="36"/>
      <c r="L40" s="36"/>
      <c r="M40" s="36">
        <f t="shared" si="2"/>
        <v>2505</v>
      </c>
      <c r="N40" s="36">
        <v>6</v>
      </c>
      <c r="O40" s="36">
        <v>2</v>
      </c>
      <c r="P40" s="36">
        <v>145</v>
      </c>
      <c r="Q40" s="36">
        <v>2</v>
      </c>
      <c r="R40" s="40"/>
      <c r="S40" s="40"/>
    </row>
    <row r="41" spans="1:19" s="104" customFormat="1" ht="15.75">
      <c r="A41" s="103" t="s">
        <v>214</v>
      </c>
      <c r="B41" s="103" t="s">
        <v>24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>
        <f t="shared" si="2"/>
        <v>0</v>
      </c>
      <c r="N41" s="103"/>
      <c r="O41" s="103"/>
      <c r="P41" s="103"/>
      <c r="Q41" s="112"/>
      <c r="R41" s="106"/>
      <c r="S41" s="106"/>
    </row>
    <row r="42" spans="1:19" s="41" customFormat="1" ht="15.75">
      <c r="A42" s="36" t="s">
        <v>215</v>
      </c>
      <c r="B42" s="36" t="s">
        <v>17</v>
      </c>
      <c r="C42" s="67">
        <v>409</v>
      </c>
      <c r="D42" s="36"/>
      <c r="E42" s="36">
        <v>404</v>
      </c>
      <c r="F42" s="36"/>
      <c r="G42" s="67">
        <v>424</v>
      </c>
      <c r="H42" s="67">
        <v>436</v>
      </c>
      <c r="I42" s="36"/>
      <c r="J42" s="36">
        <v>389</v>
      </c>
      <c r="K42" s="67">
        <v>413</v>
      </c>
      <c r="L42" s="36"/>
      <c r="M42" s="36">
        <f t="shared" si="2"/>
        <v>2475</v>
      </c>
      <c r="N42" s="36">
        <v>6</v>
      </c>
      <c r="O42" s="36">
        <v>2</v>
      </c>
      <c r="P42" s="36">
        <v>142</v>
      </c>
      <c r="Q42" s="36">
        <v>2</v>
      </c>
      <c r="R42" s="40"/>
      <c r="S42" s="40"/>
    </row>
    <row r="43" spans="1:19" s="32" customFormat="1" ht="15.75">
      <c r="A43" s="26" t="s">
        <v>216</v>
      </c>
      <c r="B43" s="26" t="s">
        <v>15</v>
      </c>
      <c r="C43" s="26">
        <v>430</v>
      </c>
      <c r="D43" s="26">
        <v>427</v>
      </c>
      <c r="E43" s="87">
        <v>477</v>
      </c>
      <c r="F43" s="26"/>
      <c r="G43" s="26">
        <v>428</v>
      </c>
      <c r="H43" s="87">
        <v>458</v>
      </c>
      <c r="I43" s="87">
        <v>433</v>
      </c>
      <c r="J43" s="26"/>
      <c r="K43" s="26"/>
      <c r="L43" s="26"/>
      <c r="M43" s="26">
        <f t="shared" si="2"/>
        <v>2653</v>
      </c>
      <c r="N43" s="26">
        <v>5</v>
      </c>
      <c r="O43" s="26">
        <v>3</v>
      </c>
      <c r="P43" s="26">
        <v>147</v>
      </c>
      <c r="Q43" s="26">
        <v>2</v>
      </c>
      <c r="R43" s="31"/>
      <c r="S43" s="31"/>
    </row>
    <row r="44" spans="1:19" s="41" customFormat="1" ht="16.5" thickBot="1">
      <c r="A44" s="36" t="s">
        <v>217</v>
      </c>
      <c r="B44" s="36" t="s">
        <v>16</v>
      </c>
      <c r="C44" s="36"/>
      <c r="D44" s="36">
        <v>205</v>
      </c>
      <c r="E44" s="36">
        <v>435</v>
      </c>
      <c r="F44" s="36"/>
      <c r="G44" s="36">
        <v>203</v>
      </c>
      <c r="H44" s="67">
        <v>453</v>
      </c>
      <c r="I44" s="36">
        <v>424</v>
      </c>
      <c r="J44" s="36">
        <v>422</v>
      </c>
      <c r="K44" s="67">
        <v>451</v>
      </c>
      <c r="L44" s="36"/>
      <c r="M44" s="36">
        <f t="shared" si="2"/>
        <v>2593</v>
      </c>
      <c r="N44" s="53">
        <v>2</v>
      </c>
      <c r="O44" s="53">
        <v>6</v>
      </c>
      <c r="P44" s="53">
        <v>-148</v>
      </c>
      <c r="Q44" s="53">
        <v>0</v>
      </c>
      <c r="R44" s="40"/>
      <c r="S44" s="40"/>
    </row>
    <row r="45" spans="14:17" ht="16.5" thickTop="1">
      <c r="N45" s="1">
        <f>SUM(N30:N44)</f>
        <v>61</v>
      </c>
      <c r="O45" s="1">
        <f>SUM(O30:O44)</f>
        <v>51</v>
      </c>
      <c r="P45" s="1">
        <f>SUM(P30:P44)</f>
        <v>357</v>
      </c>
      <c r="Q45" s="1">
        <f>SUM(Q30:Q44)</f>
        <v>17</v>
      </c>
    </row>
  </sheetData>
  <mergeCells count="9">
    <mergeCell ref="C1:L1"/>
    <mergeCell ref="N1:O1"/>
    <mergeCell ref="C21:D21"/>
    <mergeCell ref="N19:O19"/>
    <mergeCell ref="I24:J24"/>
    <mergeCell ref="L24:M24"/>
    <mergeCell ref="L25:M25"/>
    <mergeCell ref="C22:D22"/>
    <mergeCell ref="C23:D23"/>
  </mergeCells>
  <printOptions/>
  <pageMargins left="0.75" right="0.75" top="1" bottom="1" header="0.5" footer="0.5"/>
  <pageSetup orientation="portrait" paperSize="9"/>
  <ignoredErrors>
    <ignoredError sqref="E19 M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="89" zoomScaleNormal="89" workbookViewId="0" topLeftCell="A25">
      <selection activeCell="C44" sqref="C44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0.375" style="1" customWidth="1"/>
    <col min="10" max="10" width="9.125" style="1" customWidth="1"/>
    <col min="11" max="11" width="12.00390625" style="1" customWidth="1"/>
    <col min="12" max="12" width="9.125" style="1" customWidth="1"/>
    <col min="13" max="13" width="17.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9" max="19" width="15.75390625" style="0" bestFit="1" customWidth="1"/>
  </cols>
  <sheetData>
    <row r="1" spans="3:20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  <c r="R1" s="2"/>
      <c r="S1" s="2"/>
      <c r="T1" s="2"/>
    </row>
    <row r="2" spans="2:17" ht="36.75" customHeight="1" thickBot="1">
      <c r="B2" s="3" t="s">
        <v>30</v>
      </c>
      <c r="C2" s="13" t="s">
        <v>49</v>
      </c>
      <c r="D2" s="13" t="s">
        <v>50</v>
      </c>
      <c r="E2" s="13" t="s">
        <v>51</v>
      </c>
      <c r="F2" s="13" t="s">
        <v>79</v>
      </c>
      <c r="G2" s="13" t="s">
        <v>80</v>
      </c>
      <c r="H2" s="13" t="s">
        <v>81</v>
      </c>
      <c r="I2" s="13" t="s">
        <v>118</v>
      </c>
      <c r="J2" s="13" t="s">
        <v>139</v>
      </c>
      <c r="K2" s="13" t="s">
        <v>179</v>
      </c>
      <c r="L2" s="13" t="s">
        <v>197</v>
      </c>
      <c r="M2" s="3" t="s">
        <v>39</v>
      </c>
      <c r="N2" s="3" t="s">
        <v>28</v>
      </c>
      <c r="O2" s="3" t="s">
        <v>38</v>
      </c>
      <c r="P2" s="3" t="s">
        <v>40</v>
      </c>
      <c r="Q2" s="15" t="s">
        <v>143</v>
      </c>
    </row>
    <row r="3" spans="1:17" s="41" customFormat="1" ht="15.75">
      <c r="A3" s="36" t="s">
        <v>0</v>
      </c>
      <c r="B3" s="36" t="s">
        <v>19</v>
      </c>
      <c r="C3" s="72">
        <v>467</v>
      </c>
      <c r="D3" s="59">
        <v>396</v>
      </c>
      <c r="E3" s="72">
        <v>417</v>
      </c>
      <c r="F3" s="72">
        <v>216</v>
      </c>
      <c r="G3" s="72">
        <v>421</v>
      </c>
      <c r="H3" s="59">
        <v>409</v>
      </c>
      <c r="I3" s="72">
        <v>237</v>
      </c>
      <c r="J3" s="59"/>
      <c r="K3" s="59"/>
      <c r="L3" s="75"/>
      <c r="M3" s="39">
        <f>SUM(C3:L3)</f>
        <v>2563</v>
      </c>
      <c r="N3" s="36">
        <v>6</v>
      </c>
      <c r="O3" s="36">
        <v>2</v>
      </c>
      <c r="P3" s="36">
        <v>188</v>
      </c>
      <c r="Q3" s="36">
        <v>2</v>
      </c>
    </row>
    <row r="4" spans="1:17" s="32" customFormat="1" ht="15.75">
      <c r="A4" s="26" t="s">
        <v>1</v>
      </c>
      <c r="B4" s="26" t="s">
        <v>21</v>
      </c>
      <c r="C4" s="66">
        <v>478</v>
      </c>
      <c r="D4" s="66">
        <v>424</v>
      </c>
      <c r="E4" s="66">
        <v>437</v>
      </c>
      <c r="F4" s="66">
        <v>428</v>
      </c>
      <c r="G4" s="66">
        <v>420</v>
      </c>
      <c r="H4" s="58">
        <v>403</v>
      </c>
      <c r="I4" s="58"/>
      <c r="J4" s="58"/>
      <c r="K4" s="58"/>
      <c r="L4" s="76"/>
      <c r="M4" s="30">
        <f aca="true" t="shared" si="0" ref="M4:M17">SUM(C4:L4)</f>
        <v>2590</v>
      </c>
      <c r="N4" s="26">
        <v>7</v>
      </c>
      <c r="O4" s="26">
        <v>1</v>
      </c>
      <c r="P4" s="26">
        <v>269</v>
      </c>
      <c r="Q4" s="26">
        <v>2</v>
      </c>
    </row>
    <row r="5" spans="1:17" s="41" customFormat="1" ht="15.75">
      <c r="A5" s="36" t="s">
        <v>2</v>
      </c>
      <c r="B5" s="36" t="s">
        <v>33</v>
      </c>
      <c r="C5" s="72">
        <v>454</v>
      </c>
      <c r="D5" s="72">
        <v>466</v>
      </c>
      <c r="E5" s="72">
        <v>432</v>
      </c>
      <c r="F5" s="72">
        <v>441</v>
      </c>
      <c r="G5" s="72">
        <v>424</v>
      </c>
      <c r="H5" s="59">
        <v>403</v>
      </c>
      <c r="I5" s="59"/>
      <c r="J5" s="59"/>
      <c r="K5" s="59"/>
      <c r="L5" s="75"/>
      <c r="M5" s="39">
        <f t="shared" si="0"/>
        <v>2620</v>
      </c>
      <c r="N5" s="36">
        <v>7</v>
      </c>
      <c r="O5" s="36">
        <v>1</v>
      </c>
      <c r="P5" s="36">
        <v>238</v>
      </c>
      <c r="Q5" s="36">
        <v>2</v>
      </c>
    </row>
    <row r="6" spans="1:17" s="32" customFormat="1" ht="15.75">
      <c r="A6" s="26" t="s">
        <v>3</v>
      </c>
      <c r="B6" s="26" t="s">
        <v>25</v>
      </c>
      <c r="C6" s="66">
        <v>467</v>
      </c>
      <c r="D6" s="66">
        <v>432</v>
      </c>
      <c r="E6" s="66">
        <v>416</v>
      </c>
      <c r="F6" s="58"/>
      <c r="G6" s="66">
        <v>435</v>
      </c>
      <c r="H6" s="58">
        <v>395</v>
      </c>
      <c r="I6" s="66">
        <v>424</v>
      </c>
      <c r="J6" s="58"/>
      <c r="K6" s="58"/>
      <c r="L6" s="76"/>
      <c r="M6" s="30">
        <f t="shared" si="0"/>
        <v>2569</v>
      </c>
      <c r="N6" s="26">
        <v>7</v>
      </c>
      <c r="O6" s="26">
        <v>1</v>
      </c>
      <c r="P6" s="30">
        <f>M6-2345</f>
        <v>224</v>
      </c>
      <c r="Q6" s="26">
        <v>2</v>
      </c>
    </row>
    <row r="7" spans="1:17" s="41" customFormat="1" ht="15.75">
      <c r="A7" s="36" t="s">
        <v>4</v>
      </c>
      <c r="B7" s="36" t="s">
        <v>29</v>
      </c>
      <c r="C7" s="72">
        <v>467</v>
      </c>
      <c r="D7" s="72">
        <v>447</v>
      </c>
      <c r="E7" s="64"/>
      <c r="F7" s="59"/>
      <c r="G7" s="72">
        <v>440</v>
      </c>
      <c r="H7" s="59">
        <v>415</v>
      </c>
      <c r="I7" s="59">
        <v>380</v>
      </c>
      <c r="J7" s="59"/>
      <c r="K7" s="59">
        <v>395</v>
      </c>
      <c r="L7" s="75"/>
      <c r="M7" s="39">
        <f t="shared" si="0"/>
        <v>2544</v>
      </c>
      <c r="N7" s="36">
        <v>5</v>
      </c>
      <c r="O7" s="36">
        <v>3</v>
      </c>
      <c r="P7" s="39">
        <f>M7-2523</f>
        <v>21</v>
      </c>
      <c r="Q7" s="36">
        <v>2</v>
      </c>
    </row>
    <row r="8" spans="1:17" s="32" customFormat="1" ht="15.75">
      <c r="A8" s="26" t="s">
        <v>5</v>
      </c>
      <c r="B8" s="26" t="s">
        <v>31</v>
      </c>
      <c r="C8" s="66">
        <v>474</v>
      </c>
      <c r="D8" s="62">
        <v>415</v>
      </c>
      <c r="E8" s="66">
        <v>438</v>
      </c>
      <c r="F8" s="58">
        <v>435</v>
      </c>
      <c r="G8" s="58">
        <v>403</v>
      </c>
      <c r="H8" s="58"/>
      <c r="I8" s="58">
        <v>398</v>
      </c>
      <c r="J8" s="58"/>
      <c r="K8" s="58"/>
      <c r="L8" s="76"/>
      <c r="M8" s="30">
        <f t="shared" si="0"/>
        <v>2563</v>
      </c>
      <c r="N8" s="26">
        <v>2</v>
      </c>
      <c r="O8" s="26">
        <v>6</v>
      </c>
      <c r="P8" s="26">
        <v>-116</v>
      </c>
      <c r="Q8" s="26">
        <v>0</v>
      </c>
    </row>
    <row r="9" spans="1:17" s="41" customFormat="1" ht="15.75">
      <c r="A9" s="36" t="s">
        <v>6</v>
      </c>
      <c r="B9" s="36" t="s">
        <v>18</v>
      </c>
      <c r="C9" s="72">
        <v>436</v>
      </c>
      <c r="D9" s="72">
        <v>495</v>
      </c>
      <c r="E9" s="64">
        <v>380</v>
      </c>
      <c r="F9" s="59">
        <v>398</v>
      </c>
      <c r="G9" s="59">
        <v>425</v>
      </c>
      <c r="H9" s="59"/>
      <c r="I9" s="72">
        <v>456</v>
      </c>
      <c r="J9" s="59"/>
      <c r="K9" s="59"/>
      <c r="L9" s="75"/>
      <c r="M9" s="39">
        <f t="shared" si="0"/>
        <v>2590</v>
      </c>
      <c r="N9" s="36">
        <v>3</v>
      </c>
      <c r="O9" s="36">
        <v>5</v>
      </c>
      <c r="P9" s="39">
        <v>-5</v>
      </c>
      <c r="Q9" s="36">
        <v>0</v>
      </c>
    </row>
    <row r="10" spans="1:17" s="32" customFormat="1" ht="15.75">
      <c r="A10" s="26" t="s">
        <v>7</v>
      </c>
      <c r="B10" s="26" t="s">
        <v>26</v>
      </c>
      <c r="C10" s="83">
        <v>474</v>
      </c>
      <c r="D10" s="66">
        <v>471</v>
      </c>
      <c r="E10" s="61">
        <v>435</v>
      </c>
      <c r="F10" s="61"/>
      <c r="G10" s="83">
        <v>446</v>
      </c>
      <c r="H10" s="61">
        <v>411</v>
      </c>
      <c r="I10" s="61">
        <v>417</v>
      </c>
      <c r="J10" s="61"/>
      <c r="K10" s="61"/>
      <c r="L10" s="76"/>
      <c r="M10" s="30">
        <f t="shared" si="0"/>
        <v>2654</v>
      </c>
      <c r="N10" s="26">
        <v>5</v>
      </c>
      <c r="O10" s="26">
        <v>3</v>
      </c>
      <c r="P10" s="26">
        <v>8</v>
      </c>
      <c r="Q10" s="26">
        <v>2</v>
      </c>
    </row>
    <row r="11" spans="1:17" s="41" customFormat="1" ht="15.75">
      <c r="A11" s="36" t="s">
        <v>8</v>
      </c>
      <c r="B11" s="36" t="s">
        <v>27</v>
      </c>
      <c r="C11" s="95">
        <v>441</v>
      </c>
      <c r="D11" s="72">
        <v>439</v>
      </c>
      <c r="E11" s="64">
        <v>393</v>
      </c>
      <c r="F11" s="59">
        <v>429</v>
      </c>
      <c r="G11" s="59">
        <v>417</v>
      </c>
      <c r="H11" s="59"/>
      <c r="I11" s="59">
        <v>431</v>
      </c>
      <c r="J11" s="59"/>
      <c r="K11" s="59"/>
      <c r="L11" s="75"/>
      <c r="M11" s="39">
        <f>SUM(C11:L11)</f>
        <v>2550</v>
      </c>
      <c r="N11" s="36">
        <v>4</v>
      </c>
      <c r="O11" s="36">
        <v>4</v>
      </c>
      <c r="P11" s="36">
        <v>13</v>
      </c>
      <c r="Q11" s="36">
        <v>1</v>
      </c>
    </row>
    <row r="12" spans="1:17" s="32" customFormat="1" ht="15.75">
      <c r="A12" s="26" t="s">
        <v>9</v>
      </c>
      <c r="B12" s="26" t="s">
        <v>20</v>
      </c>
      <c r="C12" s="66">
        <v>435</v>
      </c>
      <c r="D12" s="66">
        <v>427</v>
      </c>
      <c r="E12" s="58"/>
      <c r="F12" s="58">
        <v>409</v>
      </c>
      <c r="G12" s="66">
        <v>437</v>
      </c>
      <c r="H12" s="58">
        <v>401</v>
      </c>
      <c r="I12" s="58">
        <v>404</v>
      </c>
      <c r="J12" s="58"/>
      <c r="K12" s="58"/>
      <c r="L12" s="76"/>
      <c r="M12" s="30">
        <f t="shared" si="0"/>
        <v>2513</v>
      </c>
      <c r="N12" s="26">
        <v>3</v>
      </c>
      <c r="O12" s="26">
        <v>5</v>
      </c>
      <c r="P12" s="26">
        <v>-29</v>
      </c>
      <c r="Q12" s="26">
        <v>0</v>
      </c>
    </row>
    <row r="13" spans="1:17" s="41" customFormat="1" ht="15.75">
      <c r="A13" s="36" t="s">
        <v>10</v>
      </c>
      <c r="B13" s="36" t="s">
        <v>23</v>
      </c>
      <c r="C13" s="72">
        <v>455</v>
      </c>
      <c r="D13" s="72">
        <v>494</v>
      </c>
      <c r="E13" s="64"/>
      <c r="F13" s="59">
        <v>432</v>
      </c>
      <c r="G13" s="59">
        <v>432</v>
      </c>
      <c r="H13" s="59">
        <v>407</v>
      </c>
      <c r="I13" s="72">
        <v>465</v>
      </c>
      <c r="J13" s="59"/>
      <c r="K13" s="59"/>
      <c r="L13" s="75"/>
      <c r="M13" s="39">
        <f t="shared" si="0"/>
        <v>2685</v>
      </c>
      <c r="N13" s="36">
        <v>5</v>
      </c>
      <c r="O13" s="36">
        <v>3</v>
      </c>
      <c r="P13" s="39">
        <f>M13-2520</f>
        <v>165</v>
      </c>
      <c r="Q13" s="36">
        <v>2</v>
      </c>
    </row>
    <row r="14" spans="1:17" s="41" customFormat="1" ht="15.75">
      <c r="A14" s="36" t="s">
        <v>11</v>
      </c>
      <c r="B14" s="36" t="s">
        <v>16</v>
      </c>
      <c r="C14" s="59">
        <v>427</v>
      </c>
      <c r="D14" s="64"/>
      <c r="E14" s="64"/>
      <c r="F14" s="59">
        <v>368</v>
      </c>
      <c r="G14" s="72">
        <v>454</v>
      </c>
      <c r="H14" s="59">
        <v>380</v>
      </c>
      <c r="I14" s="59">
        <v>428</v>
      </c>
      <c r="J14" s="59"/>
      <c r="K14" s="59"/>
      <c r="L14" s="75">
        <v>416</v>
      </c>
      <c r="M14" s="39">
        <f t="shared" si="0"/>
        <v>2473</v>
      </c>
      <c r="N14" s="36">
        <v>1</v>
      </c>
      <c r="O14" s="36">
        <v>7</v>
      </c>
      <c r="P14" s="36">
        <v>-221</v>
      </c>
      <c r="Q14" s="36">
        <v>0</v>
      </c>
    </row>
    <row r="15" spans="1:17" s="32" customFormat="1" ht="15.75">
      <c r="A15" s="26" t="s">
        <v>12</v>
      </c>
      <c r="B15" s="26" t="s">
        <v>15</v>
      </c>
      <c r="C15" s="66">
        <v>442</v>
      </c>
      <c r="D15" s="62">
        <v>415</v>
      </c>
      <c r="E15" s="58">
        <v>417</v>
      </c>
      <c r="F15" s="58"/>
      <c r="G15" s="66">
        <v>428</v>
      </c>
      <c r="H15" s="58">
        <v>405</v>
      </c>
      <c r="I15" s="66">
        <v>423</v>
      </c>
      <c r="J15" s="58"/>
      <c r="K15" s="58"/>
      <c r="L15" s="76"/>
      <c r="M15" s="30">
        <f t="shared" si="0"/>
        <v>2530</v>
      </c>
      <c r="N15" s="26">
        <v>5</v>
      </c>
      <c r="O15" s="26">
        <v>3</v>
      </c>
      <c r="P15" s="26">
        <v>14</v>
      </c>
      <c r="Q15" s="26">
        <v>2</v>
      </c>
    </row>
    <row r="16" spans="1:17" s="41" customFormat="1" ht="15.75">
      <c r="A16" s="36" t="s">
        <v>13</v>
      </c>
      <c r="B16" s="36" t="s">
        <v>17</v>
      </c>
      <c r="C16" s="72">
        <v>462</v>
      </c>
      <c r="D16" s="72">
        <v>460</v>
      </c>
      <c r="E16" s="64"/>
      <c r="F16" s="59">
        <v>398</v>
      </c>
      <c r="G16" s="72">
        <v>432</v>
      </c>
      <c r="H16" s="59">
        <v>395</v>
      </c>
      <c r="I16" s="59">
        <v>419</v>
      </c>
      <c r="J16" s="59"/>
      <c r="K16" s="59"/>
      <c r="L16" s="75"/>
      <c r="M16" s="39">
        <f t="shared" si="0"/>
        <v>2566</v>
      </c>
      <c r="N16" s="36">
        <v>5</v>
      </c>
      <c r="O16" s="36">
        <v>3</v>
      </c>
      <c r="P16" s="39">
        <f>M16-2519</f>
        <v>47</v>
      </c>
      <c r="Q16" s="36">
        <v>2</v>
      </c>
    </row>
    <row r="17" spans="1:17" ht="16.5" thickBot="1">
      <c r="A17" s="1" t="s">
        <v>14</v>
      </c>
      <c r="B17" s="1" t="s">
        <v>24</v>
      </c>
      <c r="C17" s="77"/>
      <c r="D17" s="77"/>
      <c r="E17" s="77"/>
      <c r="F17" s="77"/>
      <c r="G17" s="77"/>
      <c r="H17" s="77"/>
      <c r="I17" s="77"/>
      <c r="J17" s="77"/>
      <c r="K17" s="77"/>
      <c r="L17" s="78"/>
      <c r="M17" s="79">
        <f t="shared" si="0"/>
        <v>0</v>
      </c>
      <c r="N17" s="4"/>
      <c r="O17" s="4"/>
      <c r="P17" s="9"/>
      <c r="Q17" s="4"/>
    </row>
    <row r="18" spans="3:12" ht="16.5" thickTop="1">
      <c r="C18" s="7">
        <f>SUM(C3:C17)</f>
        <v>6379</v>
      </c>
      <c r="D18" s="7">
        <f aca="true" t="shared" si="1" ref="D18:L18">SUM(D3:D17)</f>
        <v>5781</v>
      </c>
      <c r="E18" s="7">
        <f>SUM(E3:E17)</f>
        <v>3765</v>
      </c>
      <c r="F18" s="7">
        <f t="shared" si="1"/>
        <v>3954</v>
      </c>
      <c r="G18" s="7">
        <f t="shared" si="1"/>
        <v>6014</v>
      </c>
      <c r="H18" s="7">
        <f t="shared" si="1"/>
        <v>4424</v>
      </c>
      <c r="I18" s="7">
        <f t="shared" si="1"/>
        <v>4882</v>
      </c>
      <c r="J18" s="7">
        <f t="shared" si="1"/>
        <v>0</v>
      </c>
      <c r="K18" s="7">
        <f t="shared" si="1"/>
        <v>395</v>
      </c>
      <c r="L18" s="7">
        <f t="shared" si="1"/>
        <v>416</v>
      </c>
    </row>
    <row r="19" spans="2:19" ht="35.25" customHeight="1">
      <c r="B19" s="16" t="s">
        <v>163</v>
      </c>
      <c r="C19" s="22">
        <f>C18/14</f>
        <v>455.64285714285717</v>
      </c>
      <c r="D19" s="22">
        <f>D18/13</f>
        <v>444.6923076923077</v>
      </c>
      <c r="E19" s="22">
        <f>E18/9</f>
        <v>418.3333333333333</v>
      </c>
      <c r="F19" s="22">
        <f>F18/9.5</f>
        <v>416.2105263157895</v>
      </c>
      <c r="G19" s="22">
        <f>G18/14</f>
        <v>429.57142857142856</v>
      </c>
      <c r="H19" s="22">
        <f>H18/11</f>
        <v>402.1818181818182</v>
      </c>
      <c r="I19" s="22">
        <f>I18/11.5</f>
        <v>424.5217391304348</v>
      </c>
      <c r="J19" s="22"/>
      <c r="K19" s="22">
        <f>K18/1</f>
        <v>395</v>
      </c>
      <c r="L19" s="22">
        <f>L18/1</f>
        <v>416</v>
      </c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36010</v>
      </c>
      <c r="N20" s="1">
        <f>SUM(N3:N17)</f>
        <v>65</v>
      </c>
      <c r="O20" s="1">
        <f>SUM(O3:O17)</f>
        <v>47</v>
      </c>
      <c r="P20" s="1">
        <f>SUM(P3:P17)</f>
        <v>816</v>
      </c>
      <c r="Q20" s="1">
        <f>SUM(Q3:Q17)</f>
        <v>19</v>
      </c>
      <c r="S20" s="2">
        <f>N20-O20</f>
        <v>18</v>
      </c>
    </row>
    <row r="21" spans="3:4" ht="15.75">
      <c r="C21" s="119" t="s">
        <v>52</v>
      </c>
      <c r="D21" s="119"/>
    </row>
    <row r="22" spans="3:14" ht="15.75">
      <c r="C22" s="116" t="s">
        <v>168</v>
      </c>
      <c r="D22" s="116"/>
      <c r="M22" s="1" t="s">
        <v>164</v>
      </c>
      <c r="N22" s="24">
        <f>M20/14</f>
        <v>2572.1428571428573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9:13" ht="15.75">
      <c r="I25" s="1">
        <f>N20+N45</f>
        <v>137</v>
      </c>
      <c r="J25" s="1">
        <f>O20+O45</f>
        <v>87</v>
      </c>
      <c r="K25" s="1">
        <f>Q20++Q45</f>
        <v>42</v>
      </c>
      <c r="L25" s="115">
        <f>I25-J25</f>
        <v>50</v>
      </c>
      <c r="M25" s="115"/>
    </row>
    <row r="26" spans="1:6" ht="15.75">
      <c r="A26" s="92" t="s">
        <v>183</v>
      </c>
      <c r="B26" s="86"/>
      <c r="C26" s="86" t="s">
        <v>180</v>
      </c>
      <c r="D26" s="86" t="s">
        <v>185</v>
      </c>
      <c r="E26" s="91" t="s">
        <v>186</v>
      </c>
      <c r="F26" s="86"/>
    </row>
    <row r="27" spans="1:6" ht="15.75">
      <c r="A27" s="92"/>
      <c r="B27" s="86"/>
      <c r="C27" s="86"/>
      <c r="D27" s="86"/>
      <c r="E27" s="91"/>
      <c r="F27" s="86"/>
    </row>
    <row r="28" spans="1:6" ht="15.75">
      <c r="A28" s="92"/>
      <c r="B28" s="86"/>
      <c r="C28" s="86"/>
      <c r="D28" s="86"/>
      <c r="E28" s="91"/>
      <c r="F28" s="86"/>
    </row>
    <row r="29" spans="2:17" ht="36.75" customHeight="1" thickBot="1">
      <c r="B29" s="3" t="s">
        <v>30</v>
      </c>
      <c r="C29" s="13" t="s">
        <v>49</v>
      </c>
      <c r="D29" s="13" t="s">
        <v>50</v>
      </c>
      <c r="E29" s="13" t="s">
        <v>51</v>
      </c>
      <c r="F29" s="13" t="s">
        <v>79</v>
      </c>
      <c r="G29" s="13" t="s">
        <v>80</v>
      </c>
      <c r="H29" s="13" t="s">
        <v>81</v>
      </c>
      <c r="I29" s="13" t="s">
        <v>118</v>
      </c>
      <c r="J29" s="13" t="s">
        <v>139</v>
      </c>
      <c r="K29" s="13" t="s">
        <v>179</v>
      </c>
      <c r="L29" s="13" t="s">
        <v>197</v>
      </c>
      <c r="M29" s="3" t="s">
        <v>39</v>
      </c>
      <c r="N29" s="3" t="s">
        <v>28</v>
      </c>
      <c r="O29" s="3" t="s">
        <v>38</v>
      </c>
      <c r="P29" s="3" t="s">
        <v>40</v>
      </c>
      <c r="Q29" s="15" t="s">
        <v>143</v>
      </c>
    </row>
    <row r="30" spans="1:17" ht="15.75">
      <c r="A30" s="36" t="s">
        <v>198</v>
      </c>
      <c r="B30" s="36" t="s">
        <v>26</v>
      </c>
      <c r="C30" s="67">
        <v>461</v>
      </c>
      <c r="D30" s="67">
        <v>454</v>
      </c>
      <c r="E30" s="36">
        <v>399</v>
      </c>
      <c r="F30" s="36">
        <v>415</v>
      </c>
      <c r="G30" s="36">
        <v>419</v>
      </c>
      <c r="H30" s="36"/>
      <c r="I30" s="36">
        <v>411</v>
      </c>
      <c r="J30" s="36"/>
      <c r="K30" s="36"/>
      <c r="L30" s="36"/>
      <c r="M30" s="36">
        <f>SUM(C30:I30)</f>
        <v>2559</v>
      </c>
      <c r="N30" s="36">
        <v>4</v>
      </c>
      <c r="O30" s="36">
        <v>4</v>
      </c>
      <c r="P30" s="36">
        <v>11</v>
      </c>
      <c r="Q30" s="36">
        <v>1</v>
      </c>
    </row>
    <row r="31" spans="1:17" s="32" customFormat="1" ht="15.75">
      <c r="A31" s="26" t="s">
        <v>202</v>
      </c>
      <c r="B31" s="26" t="s">
        <v>18</v>
      </c>
      <c r="C31" s="87">
        <v>479</v>
      </c>
      <c r="D31" s="87">
        <v>447</v>
      </c>
      <c r="E31" s="87">
        <v>436</v>
      </c>
      <c r="F31" s="87">
        <v>439</v>
      </c>
      <c r="G31" s="26">
        <v>432</v>
      </c>
      <c r="H31" s="26"/>
      <c r="I31" s="87">
        <v>458</v>
      </c>
      <c r="J31" s="26"/>
      <c r="K31" s="26"/>
      <c r="L31" s="26"/>
      <c r="M31" s="26">
        <f>SUM(C31:I31)</f>
        <v>2691</v>
      </c>
      <c r="N31" s="26">
        <v>7</v>
      </c>
      <c r="O31" s="26">
        <v>1</v>
      </c>
      <c r="P31" s="26">
        <v>197</v>
      </c>
      <c r="Q31" s="26">
        <v>2</v>
      </c>
    </row>
    <row r="32" spans="1:17" s="41" customFormat="1" ht="15.75">
      <c r="A32" s="36" t="s">
        <v>204</v>
      </c>
      <c r="B32" s="36" t="s">
        <v>31</v>
      </c>
      <c r="C32" s="67">
        <v>478</v>
      </c>
      <c r="D32" s="67">
        <v>507</v>
      </c>
      <c r="E32" s="36">
        <v>399</v>
      </c>
      <c r="F32" s="36">
        <v>406</v>
      </c>
      <c r="G32" s="36">
        <v>416</v>
      </c>
      <c r="H32" s="36"/>
      <c r="I32" s="67">
        <v>450</v>
      </c>
      <c r="J32" s="36"/>
      <c r="K32" s="36"/>
      <c r="L32" s="36"/>
      <c r="M32" s="36">
        <f>SUM(C32:I32)</f>
        <v>2656</v>
      </c>
      <c r="N32" s="36">
        <v>5</v>
      </c>
      <c r="O32" s="36">
        <v>3</v>
      </c>
      <c r="P32" s="36">
        <f>M32-2642</f>
        <v>14</v>
      </c>
      <c r="Q32" s="36">
        <v>2</v>
      </c>
    </row>
    <row r="33" spans="1:17" s="32" customFormat="1" ht="15.75">
      <c r="A33" s="26" t="s">
        <v>205</v>
      </c>
      <c r="B33" s="26" t="s">
        <v>29</v>
      </c>
      <c r="C33" s="87">
        <v>445</v>
      </c>
      <c r="D33" s="26"/>
      <c r="E33" s="26">
        <v>427</v>
      </c>
      <c r="F33" s="87">
        <v>439</v>
      </c>
      <c r="G33" s="87">
        <v>444</v>
      </c>
      <c r="H33" s="26">
        <v>399</v>
      </c>
      <c r="I33" s="26">
        <v>419</v>
      </c>
      <c r="J33" s="26"/>
      <c r="K33" s="26"/>
      <c r="L33" s="26"/>
      <c r="M33" s="26">
        <f>SUM(C33:I33)</f>
        <v>2573</v>
      </c>
      <c r="N33" s="26">
        <v>5</v>
      </c>
      <c r="O33" s="26">
        <v>3</v>
      </c>
      <c r="P33" s="26">
        <v>26</v>
      </c>
      <c r="Q33" s="26">
        <v>2</v>
      </c>
    </row>
    <row r="34" spans="1:17" s="41" customFormat="1" ht="15.75">
      <c r="A34" s="36" t="s">
        <v>207</v>
      </c>
      <c r="B34" s="36" t="s">
        <v>25</v>
      </c>
      <c r="C34" s="67">
        <v>439</v>
      </c>
      <c r="D34" s="36"/>
      <c r="E34" s="67">
        <v>410</v>
      </c>
      <c r="F34" s="36">
        <v>372</v>
      </c>
      <c r="G34" s="67">
        <v>423</v>
      </c>
      <c r="H34" s="36">
        <v>406</v>
      </c>
      <c r="I34" s="67">
        <v>418</v>
      </c>
      <c r="J34" s="36"/>
      <c r="K34" s="36"/>
      <c r="L34" s="36"/>
      <c r="M34" s="36">
        <f>SUM(C34:I34)</f>
        <v>2468</v>
      </c>
      <c r="N34" s="36">
        <v>6</v>
      </c>
      <c r="O34" s="36">
        <v>2</v>
      </c>
      <c r="P34" s="36">
        <f>M34-2306</f>
        <v>162</v>
      </c>
      <c r="Q34" s="36">
        <v>2</v>
      </c>
    </row>
    <row r="35" spans="1:17" s="32" customFormat="1" ht="15.75">
      <c r="A35" s="26" t="s">
        <v>208</v>
      </c>
      <c r="B35" s="26" t="s">
        <v>33</v>
      </c>
      <c r="C35" s="87">
        <v>450</v>
      </c>
      <c r="D35" s="26"/>
      <c r="E35" s="26">
        <v>413</v>
      </c>
      <c r="F35" s="87">
        <v>457</v>
      </c>
      <c r="G35" s="26">
        <v>440</v>
      </c>
      <c r="H35" s="26">
        <v>417</v>
      </c>
      <c r="I35" s="87">
        <v>471</v>
      </c>
      <c r="J35" s="26"/>
      <c r="K35" s="26"/>
      <c r="L35" s="26"/>
      <c r="M35" s="26">
        <f aca="true" t="shared" si="2" ref="M35:M44">SUM(C35:I35)</f>
        <v>2648</v>
      </c>
      <c r="N35" s="26">
        <v>5</v>
      </c>
      <c r="O35" s="26">
        <v>3</v>
      </c>
      <c r="P35" s="26">
        <v>45</v>
      </c>
      <c r="Q35" s="26">
        <v>2</v>
      </c>
    </row>
    <row r="36" spans="1:17" s="41" customFormat="1" ht="15.75">
      <c r="A36" s="36" t="s">
        <v>209</v>
      </c>
      <c r="B36" s="36" t="s">
        <v>21</v>
      </c>
      <c r="C36" s="67">
        <v>459</v>
      </c>
      <c r="D36" s="67">
        <v>479</v>
      </c>
      <c r="E36" s="36">
        <v>402</v>
      </c>
      <c r="F36" s="67">
        <v>431</v>
      </c>
      <c r="G36" s="67">
        <v>421</v>
      </c>
      <c r="H36" s="36"/>
      <c r="I36" s="36">
        <v>384</v>
      </c>
      <c r="J36" s="36"/>
      <c r="K36" s="36"/>
      <c r="L36" s="36"/>
      <c r="M36" s="36">
        <f t="shared" si="2"/>
        <v>2576</v>
      </c>
      <c r="N36" s="36">
        <v>6</v>
      </c>
      <c r="O36" s="36">
        <v>2</v>
      </c>
      <c r="P36" s="36">
        <f>M36-2341</f>
        <v>235</v>
      </c>
      <c r="Q36" s="36">
        <v>2</v>
      </c>
    </row>
    <row r="37" spans="1:17" s="32" customFormat="1" ht="15.75">
      <c r="A37" s="26" t="s">
        <v>210</v>
      </c>
      <c r="B37" s="26" t="s">
        <v>19</v>
      </c>
      <c r="C37" s="87">
        <v>457</v>
      </c>
      <c r="D37" s="87">
        <v>463</v>
      </c>
      <c r="E37" s="87">
        <v>430</v>
      </c>
      <c r="F37" s="26"/>
      <c r="G37" s="87">
        <v>441</v>
      </c>
      <c r="H37" s="26">
        <v>408</v>
      </c>
      <c r="I37" s="26">
        <v>386</v>
      </c>
      <c r="J37" s="26"/>
      <c r="K37" s="26"/>
      <c r="L37" s="26"/>
      <c r="M37" s="26">
        <f t="shared" si="2"/>
        <v>2585</v>
      </c>
      <c r="N37" s="26">
        <v>6</v>
      </c>
      <c r="O37" s="26">
        <v>2</v>
      </c>
      <c r="P37" s="26">
        <v>178</v>
      </c>
      <c r="Q37" s="26">
        <v>2</v>
      </c>
    </row>
    <row r="38" spans="1:17" s="104" customFormat="1" ht="15.75">
      <c r="A38" s="103" t="s">
        <v>211</v>
      </c>
      <c r="B38" s="103" t="s">
        <v>24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>
        <f t="shared" si="2"/>
        <v>0</v>
      </c>
      <c r="N38" s="103"/>
      <c r="O38" s="103"/>
      <c r="P38" s="103"/>
      <c r="Q38" s="103"/>
    </row>
    <row r="39" spans="1:17" s="32" customFormat="1" ht="15.75">
      <c r="A39" s="26" t="s">
        <v>212</v>
      </c>
      <c r="B39" s="26" t="s">
        <v>17</v>
      </c>
      <c r="C39" s="87">
        <v>465</v>
      </c>
      <c r="D39" s="87">
        <v>440</v>
      </c>
      <c r="E39" s="87">
        <v>429</v>
      </c>
      <c r="F39" s="87">
        <v>447</v>
      </c>
      <c r="G39" s="26">
        <v>426</v>
      </c>
      <c r="H39" s="26"/>
      <c r="I39" s="26">
        <v>428</v>
      </c>
      <c r="J39" s="26"/>
      <c r="K39" s="26"/>
      <c r="L39" s="26"/>
      <c r="M39" s="26">
        <f t="shared" si="2"/>
        <v>2635</v>
      </c>
      <c r="N39" s="26">
        <v>6</v>
      </c>
      <c r="O39" s="26">
        <v>2</v>
      </c>
      <c r="P39" s="26">
        <v>144</v>
      </c>
      <c r="Q39" s="26">
        <v>2</v>
      </c>
    </row>
    <row r="40" spans="1:17" s="41" customFormat="1" ht="15.75">
      <c r="A40" s="36" t="s">
        <v>213</v>
      </c>
      <c r="B40" s="36" t="s">
        <v>15</v>
      </c>
      <c r="C40" s="67">
        <v>445</v>
      </c>
      <c r="D40" s="67">
        <v>479</v>
      </c>
      <c r="E40" s="36">
        <v>376</v>
      </c>
      <c r="F40" s="36">
        <v>408</v>
      </c>
      <c r="G40" s="36">
        <v>435</v>
      </c>
      <c r="H40" s="36"/>
      <c r="I40" s="36">
        <v>428</v>
      </c>
      <c r="J40" s="36"/>
      <c r="K40" s="36"/>
      <c r="L40" s="36"/>
      <c r="M40" s="36">
        <f t="shared" si="2"/>
        <v>2571</v>
      </c>
      <c r="N40" s="36">
        <v>2</v>
      </c>
      <c r="O40" s="36">
        <v>6</v>
      </c>
      <c r="P40" s="36">
        <v>-110</v>
      </c>
      <c r="Q40" s="36">
        <v>0</v>
      </c>
    </row>
    <row r="41" spans="1:17" s="32" customFormat="1" ht="15.75">
      <c r="A41" s="26" t="s">
        <v>214</v>
      </c>
      <c r="B41" s="26" t="s">
        <v>16</v>
      </c>
      <c r="C41" s="87">
        <v>463</v>
      </c>
      <c r="D41" s="26">
        <v>427</v>
      </c>
      <c r="E41" s="26"/>
      <c r="F41" s="26">
        <v>409</v>
      </c>
      <c r="G41" s="87">
        <v>430</v>
      </c>
      <c r="H41" s="26">
        <v>392</v>
      </c>
      <c r="I41" s="26">
        <v>407</v>
      </c>
      <c r="J41" s="26"/>
      <c r="K41" s="26"/>
      <c r="L41" s="26"/>
      <c r="M41" s="26">
        <f t="shared" si="2"/>
        <v>2528</v>
      </c>
      <c r="N41" s="26">
        <v>2</v>
      </c>
      <c r="O41" s="26">
        <v>6</v>
      </c>
      <c r="P41" s="26">
        <v>-129</v>
      </c>
      <c r="Q41" s="26">
        <v>0</v>
      </c>
    </row>
    <row r="42" spans="1:17" s="32" customFormat="1" ht="15.75">
      <c r="A42" s="26" t="s">
        <v>215</v>
      </c>
      <c r="B42" s="26" t="s">
        <v>23</v>
      </c>
      <c r="C42" s="87">
        <v>447</v>
      </c>
      <c r="D42" s="87">
        <v>449</v>
      </c>
      <c r="E42" s="87">
        <v>433</v>
      </c>
      <c r="F42" s="45">
        <v>415</v>
      </c>
      <c r="G42" s="87">
        <v>436</v>
      </c>
      <c r="H42" s="26"/>
      <c r="I42" s="87">
        <v>450</v>
      </c>
      <c r="J42" s="26"/>
      <c r="K42" s="26"/>
      <c r="L42" s="26"/>
      <c r="M42" s="26">
        <f t="shared" si="2"/>
        <v>2630</v>
      </c>
      <c r="N42" s="26">
        <v>7</v>
      </c>
      <c r="O42" s="26">
        <v>1</v>
      </c>
      <c r="P42" s="26">
        <v>131</v>
      </c>
      <c r="Q42" s="26">
        <v>2</v>
      </c>
    </row>
    <row r="43" spans="1:17" s="41" customFormat="1" ht="15.75">
      <c r="A43" s="36" t="s">
        <v>216</v>
      </c>
      <c r="B43" s="36" t="s">
        <v>20</v>
      </c>
      <c r="C43" s="67">
        <v>478</v>
      </c>
      <c r="D43" s="67">
        <v>474</v>
      </c>
      <c r="E43" s="36">
        <v>434</v>
      </c>
      <c r="F43" s="36">
        <v>403</v>
      </c>
      <c r="G43" s="67">
        <v>462</v>
      </c>
      <c r="H43" s="36"/>
      <c r="I43" s="36">
        <v>444</v>
      </c>
      <c r="J43" s="36"/>
      <c r="K43" s="36"/>
      <c r="L43" s="36"/>
      <c r="M43" s="36">
        <f t="shared" si="2"/>
        <v>2695</v>
      </c>
      <c r="N43" s="36">
        <v>5</v>
      </c>
      <c r="O43" s="36">
        <v>3</v>
      </c>
      <c r="P43" s="36">
        <v>69</v>
      </c>
      <c r="Q43" s="36">
        <v>2</v>
      </c>
    </row>
    <row r="44" spans="1:17" s="32" customFormat="1" ht="16.5" thickBot="1">
      <c r="A44" s="26" t="s">
        <v>217</v>
      </c>
      <c r="B44" s="26" t="s">
        <v>27</v>
      </c>
      <c r="C44" s="87">
        <v>467</v>
      </c>
      <c r="D44" s="26">
        <v>434</v>
      </c>
      <c r="E44" s="87">
        <v>461</v>
      </c>
      <c r="F44" s="26"/>
      <c r="G44" s="87">
        <v>464</v>
      </c>
      <c r="H44" s="26">
        <v>360</v>
      </c>
      <c r="I44" s="87">
        <v>440</v>
      </c>
      <c r="J44" s="26"/>
      <c r="K44" s="26"/>
      <c r="L44" s="26"/>
      <c r="M44" s="26">
        <f t="shared" si="2"/>
        <v>2626</v>
      </c>
      <c r="N44" s="33">
        <v>6</v>
      </c>
      <c r="O44" s="33">
        <v>2</v>
      </c>
      <c r="P44" s="33">
        <v>70</v>
      </c>
      <c r="Q44" s="33">
        <v>2</v>
      </c>
    </row>
    <row r="45" spans="1:17" ht="16.5" thickTop="1">
      <c r="A45" s="36"/>
      <c r="N45" s="1">
        <f>SUM(N30:N44)</f>
        <v>72</v>
      </c>
      <c r="O45" s="1">
        <f>SUM(O30:O44)</f>
        <v>40</v>
      </c>
      <c r="P45" s="1">
        <f>SUM(P30:P44)</f>
        <v>1043</v>
      </c>
      <c r="Q45" s="1">
        <f>SUM(Q30:Q44)</f>
        <v>23</v>
      </c>
    </row>
    <row r="46" ht="15.75">
      <c r="A46" s="36"/>
    </row>
  </sheetData>
  <mergeCells count="9">
    <mergeCell ref="C1:L1"/>
    <mergeCell ref="N1:O1"/>
    <mergeCell ref="C21:D21"/>
    <mergeCell ref="N19:O19"/>
    <mergeCell ref="I24:J24"/>
    <mergeCell ref="L24:M24"/>
    <mergeCell ref="L25:M25"/>
    <mergeCell ref="C22:D22"/>
    <mergeCell ref="C23:D23"/>
  </mergeCells>
  <printOptions/>
  <pageMargins left="0.75" right="0.75" top="1" bottom="1" header="0.5" footer="0.5"/>
  <pageSetup orientation="portrait" paperSize="9"/>
  <ignoredErrors>
    <ignoredError sqref="D19 H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22">
      <selection activeCell="K48" sqref="K48"/>
    </sheetView>
  </sheetViews>
  <sheetFormatPr defaultColWidth="9.00390625" defaultRowHeight="12.75"/>
  <cols>
    <col min="1" max="1" width="11.25390625" style="5" bestFit="1" customWidth="1"/>
    <col min="2" max="2" width="10.375" style="5" bestFit="1" customWidth="1"/>
    <col min="3" max="3" width="11.625" style="5" customWidth="1"/>
    <col min="4" max="4" width="11.125" style="5" customWidth="1"/>
    <col min="5" max="6" width="9.125" style="5" customWidth="1"/>
    <col min="7" max="7" width="11.375" style="5" customWidth="1"/>
    <col min="8" max="9" width="9.125" style="5" customWidth="1"/>
    <col min="10" max="10" width="11.125" style="5" customWidth="1"/>
    <col min="11" max="11" width="12.00390625" style="5" customWidth="1"/>
    <col min="12" max="12" width="18.2539062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875" style="1" customWidth="1"/>
    <col min="18" max="18" width="15.75390625" style="0" bestFit="1" customWidth="1"/>
  </cols>
  <sheetData>
    <row r="1" spans="3:19" ht="15.75">
      <c r="C1" s="121" t="s">
        <v>32</v>
      </c>
      <c r="D1" s="121"/>
      <c r="E1" s="121"/>
      <c r="F1" s="121"/>
      <c r="G1" s="121"/>
      <c r="H1" s="121"/>
      <c r="I1" s="121"/>
      <c r="J1" s="121"/>
      <c r="K1" s="121"/>
      <c r="M1" s="118" t="s">
        <v>37</v>
      </c>
      <c r="N1" s="118"/>
      <c r="Q1" s="2"/>
      <c r="R1" s="2"/>
      <c r="S1" s="2"/>
    </row>
    <row r="2" spans="2:16" ht="48" customHeight="1" thickBot="1">
      <c r="B2" s="6" t="s">
        <v>30</v>
      </c>
      <c r="C2" s="13" t="s">
        <v>88</v>
      </c>
      <c r="D2" s="13" t="s">
        <v>173</v>
      </c>
      <c r="E2" s="13" t="s">
        <v>172</v>
      </c>
      <c r="F2" s="96" t="s">
        <v>195</v>
      </c>
      <c r="G2" s="13" t="s">
        <v>89</v>
      </c>
      <c r="H2" s="13" t="s">
        <v>137</v>
      </c>
      <c r="I2" s="13" t="s">
        <v>178</v>
      </c>
      <c r="J2" s="13" t="s">
        <v>150</v>
      </c>
      <c r="K2" s="13" t="s">
        <v>155</v>
      </c>
      <c r="L2" s="3" t="s">
        <v>39</v>
      </c>
      <c r="M2" s="3" t="s">
        <v>29</v>
      </c>
      <c r="N2" s="3" t="s">
        <v>38</v>
      </c>
      <c r="O2" s="3" t="s">
        <v>40</v>
      </c>
      <c r="P2" s="15" t="s">
        <v>143</v>
      </c>
    </row>
    <row r="3" spans="1:16" s="32" customFormat="1" ht="15.75">
      <c r="A3" s="48" t="s">
        <v>0</v>
      </c>
      <c r="B3" s="48" t="s">
        <v>18</v>
      </c>
      <c r="C3" s="83">
        <v>423</v>
      </c>
      <c r="D3" s="62"/>
      <c r="E3" s="83">
        <v>436</v>
      </c>
      <c r="F3" s="61"/>
      <c r="G3" s="61">
        <v>384</v>
      </c>
      <c r="H3" s="61">
        <v>410</v>
      </c>
      <c r="I3" s="61"/>
      <c r="J3" s="61">
        <v>386</v>
      </c>
      <c r="K3" s="83">
        <v>466</v>
      </c>
      <c r="L3" s="50">
        <f aca="true" t="shared" si="0" ref="L3:L17">SUM(C3:K3)</f>
        <v>2505</v>
      </c>
      <c r="M3" s="26">
        <v>3</v>
      </c>
      <c r="N3" s="26">
        <v>5</v>
      </c>
      <c r="O3" s="26">
        <v>-35</v>
      </c>
      <c r="P3" s="26">
        <v>0</v>
      </c>
    </row>
    <row r="4" spans="1:16" s="41" customFormat="1" ht="15.75">
      <c r="A4" s="44" t="s">
        <v>1</v>
      </c>
      <c r="B4" s="44" t="s">
        <v>26</v>
      </c>
      <c r="C4" s="81">
        <v>436</v>
      </c>
      <c r="D4" s="72">
        <v>459</v>
      </c>
      <c r="E4" s="68">
        <v>398</v>
      </c>
      <c r="F4" s="68"/>
      <c r="G4" s="81">
        <v>461</v>
      </c>
      <c r="H4" s="68">
        <v>419</v>
      </c>
      <c r="I4" s="68"/>
      <c r="J4" s="68"/>
      <c r="K4" s="68">
        <v>426</v>
      </c>
      <c r="L4" s="55">
        <f t="shared" si="0"/>
        <v>2599</v>
      </c>
      <c r="M4" s="36">
        <v>5</v>
      </c>
      <c r="N4" s="36">
        <v>3</v>
      </c>
      <c r="O4" s="36">
        <v>20</v>
      </c>
      <c r="P4" s="36">
        <v>2</v>
      </c>
    </row>
    <row r="5" spans="1:16" s="32" customFormat="1" ht="15.75">
      <c r="A5" s="48" t="s">
        <v>2</v>
      </c>
      <c r="B5" s="48" t="s">
        <v>27</v>
      </c>
      <c r="C5" s="61">
        <v>419</v>
      </c>
      <c r="D5" s="62"/>
      <c r="E5" s="61"/>
      <c r="F5" s="61"/>
      <c r="G5" s="83">
        <v>434</v>
      </c>
      <c r="H5" s="83">
        <v>434</v>
      </c>
      <c r="I5" s="61">
        <v>400</v>
      </c>
      <c r="J5" s="61">
        <v>352</v>
      </c>
      <c r="K5" s="83">
        <v>450</v>
      </c>
      <c r="L5" s="50">
        <f t="shared" si="0"/>
        <v>2489</v>
      </c>
      <c r="M5" s="26">
        <v>3</v>
      </c>
      <c r="N5" s="26">
        <v>5</v>
      </c>
      <c r="O5" s="26">
        <v>-5</v>
      </c>
      <c r="P5" s="26">
        <v>0</v>
      </c>
    </row>
    <row r="6" spans="1:16" s="41" customFormat="1" ht="15.75">
      <c r="A6" s="44" t="s">
        <v>3</v>
      </c>
      <c r="B6" s="44" t="s">
        <v>20</v>
      </c>
      <c r="C6" s="81">
        <v>436</v>
      </c>
      <c r="D6" s="72">
        <v>468</v>
      </c>
      <c r="E6" s="68">
        <v>390</v>
      </c>
      <c r="F6" s="68"/>
      <c r="G6" s="81">
        <v>439</v>
      </c>
      <c r="H6" s="68">
        <v>396</v>
      </c>
      <c r="I6" s="68"/>
      <c r="J6" s="68"/>
      <c r="K6" s="81">
        <v>413</v>
      </c>
      <c r="L6" s="55">
        <f t="shared" si="0"/>
        <v>2542</v>
      </c>
      <c r="M6" s="36">
        <v>6</v>
      </c>
      <c r="N6" s="36">
        <v>2</v>
      </c>
      <c r="O6" s="39">
        <f>L6-2364</f>
        <v>178</v>
      </c>
      <c r="P6" s="36">
        <v>2</v>
      </c>
    </row>
    <row r="7" spans="1:16" s="32" customFormat="1" ht="15.75">
      <c r="A7" s="48" t="s">
        <v>4</v>
      </c>
      <c r="B7" s="48" t="s">
        <v>28</v>
      </c>
      <c r="C7" s="83">
        <v>448</v>
      </c>
      <c r="D7" s="66">
        <v>445</v>
      </c>
      <c r="E7" s="61">
        <v>412</v>
      </c>
      <c r="F7" s="61"/>
      <c r="G7" s="61">
        <v>388</v>
      </c>
      <c r="H7" s="83">
        <v>417</v>
      </c>
      <c r="I7" s="61"/>
      <c r="J7" s="61"/>
      <c r="K7" s="61">
        <v>413</v>
      </c>
      <c r="L7" s="50">
        <f t="shared" si="0"/>
        <v>2523</v>
      </c>
      <c r="M7" s="26">
        <v>3</v>
      </c>
      <c r="N7" s="26">
        <v>5</v>
      </c>
      <c r="O7" s="30">
        <v>-21</v>
      </c>
      <c r="P7" s="26">
        <v>0</v>
      </c>
    </row>
    <row r="8" spans="1:16" s="41" customFormat="1" ht="15.75">
      <c r="A8" s="44" t="s">
        <v>5</v>
      </c>
      <c r="B8" s="44" t="s">
        <v>16</v>
      </c>
      <c r="C8" s="37">
        <v>428</v>
      </c>
      <c r="D8" s="72">
        <v>489</v>
      </c>
      <c r="E8" s="68">
        <v>429</v>
      </c>
      <c r="F8" s="68"/>
      <c r="G8" s="81">
        <v>455</v>
      </c>
      <c r="H8" s="68">
        <v>441</v>
      </c>
      <c r="I8" s="68"/>
      <c r="J8" s="68"/>
      <c r="K8" s="81">
        <v>450</v>
      </c>
      <c r="L8" s="55">
        <f t="shared" si="0"/>
        <v>2692</v>
      </c>
      <c r="M8" s="36">
        <v>3</v>
      </c>
      <c r="N8" s="36">
        <v>5</v>
      </c>
      <c r="O8" s="36">
        <v>-43</v>
      </c>
      <c r="P8" s="36">
        <v>0</v>
      </c>
    </row>
    <row r="9" spans="1:16" s="32" customFormat="1" ht="15.75">
      <c r="A9" s="48" t="s">
        <v>6</v>
      </c>
      <c r="B9" s="48" t="s">
        <v>15</v>
      </c>
      <c r="C9" s="83">
        <v>432</v>
      </c>
      <c r="D9" s="62"/>
      <c r="E9" s="83">
        <v>438</v>
      </c>
      <c r="F9" s="61"/>
      <c r="G9" s="61"/>
      <c r="H9" s="61">
        <v>406</v>
      </c>
      <c r="I9" s="61">
        <v>407</v>
      </c>
      <c r="J9" s="61">
        <v>413</v>
      </c>
      <c r="K9" s="83">
        <v>450</v>
      </c>
      <c r="L9" s="50">
        <f t="shared" si="0"/>
        <v>2546</v>
      </c>
      <c r="M9" s="26">
        <v>5</v>
      </c>
      <c r="N9" s="26">
        <v>3</v>
      </c>
      <c r="O9" s="26">
        <v>15</v>
      </c>
      <c r="P9" s="26">
        <v>2</v>
      </c>
    </row>
    <row r="10" spans="1:16" s="41" customFormat="1" ht="15.75">
      <c r="A10" s="44" t="s">
        <v>7</v>
      </c>
      <c r="B10" s="44" t="s">
        <v>17</v>
      </c>
      <c r="C10" s="68">
        <v>389</v>
      </c>
      <c r="D10" s="72">
        <v>446</v>
      </c>
      <c r="E10" s="81">
        <v>427</v>
      </c>
      <c r="F10" s="68"/>
      <c r="G10" s="81">
        <v>453</v>
      </c>
      <c r="H10" s="68">
        <v>405</v>
      </c>
      <c r="I10" s="68"/>
      <c r="J10" s="68"/>
      <c r="K10" s="68">
        <v>412</v>
      </c>
      <c r="L10" s="55">
        <f t="shared" si="0"/>
        <v>2532</v>
      </c>
      <c r="M10" s="36">
        <v>3</v>
      </c>
      <c r="N10" s="36">
        <v>5</v>
      </c>
      <c r="O10" s="39">
        <v>-56</v>
      </c>
      <c r="P10" s="36">
        <v>0</v>
      </c>
    </row>
    <row r="11" spans="1:12" ht="15.75">
      <c r="A11" s="5" t="s">
        <v>8</v>
      </c>
      <c r="B11" s="21" t="s">
        <v>24</v>
      </c>
      <c r="C11" s="73"/>
      <c r="D11" s="86"/>
      <c r="E11" s="73"/>
      <c r="G11" s="73"/>
      <c r="H11" s="73"/>
      <c r="I11" s="73"/>
      <c r="J11" s="73"/>
      <c r="K11" s="73"/>
      <c r="L11" s="12">
        <f t="shared" si="0"/>
        <v>0</v>
      </c>
    </row>
    <row r="12" spans="1:16" s="41" customFormat="1" ht="15.75">
      <c r="A12" s="44" t="s">
        <v>9</v>
      </c>
      <c r="B12" s="44" t="s">
        <v>19</v>
      </c>
      <c r="C12" s="68"/>
      <c r="D12" s="64"/>
      <c r="E12" s="68">
        <v>380</v>
      </c>
      <c r="F12" s="81">
        <v>413</v>
      </c>
      <c r="G12" s="68">
        <v>382</v>
      </c>
      <c r="I12" s="68">
        <v>393</v>
      </c>
      <c r="J12" s="81">
        <v>421</v>
      </c>
      <c r="K12" s="81">
        <v>409</v>
      </c>
      <c r="L12" s="55">
        <f t="shared" si="0"/>
        <v>2398</v>
      </c>
      <c r="M12" s="36">
        <v>5</v>
      </c>
      <c r="N12" s="36">
        <v>3</v>
      </c>
      <c r="O12" s="39">
        <f>L12-2356</f>
        <v>42</v>
      </c>
      <c r="P12" s="36">
        <v>2</v>
      </c>
    </row>
    <row r="13" spans="1:16" s="32" customFormat="1" ht="15.75">
      <c r="A13" s="48" t="s">
        <v>10</v>
      </c>
      <c r="B13" s="48" t="s">
        <v>21</v>
      </c>
      <c r="C13" s="61">
        <v>391</v>
      </c>
      <c r="D13" s="62"/>
      <c r="E13" s="61"/>
      <c r="F13" s="61"/>
      <c r="G13" s="83">
        <v>451</v>
      </c>
      <c r="H13" s="83">
        <v>406</v>
      </c>
      <c r="I13" s="61">
        <v>396</v>
      </c>
      <c r="J13" s="61">
        <v>401</v>
      </c>
      <c r="K13" s="83">
        <v>442</v>
      </c>
      <c r="L13" s="50">
        <f t="shared" si="0"/>
        <v>2487</v>
      </c>
      <c r="M13" s="26">
        <v>5</v>
      </c>
      <c r="N13" s="26">
        <v>3</v>
      </c>
      <c r="O13" s="30">
        <f>L13-2285</f>
        <v>202</v>
      </c>
      <c r="P13" s="26">
        <v>2</v>
      </c>
    </row>
    <row r="14" spans="1:16" s="41" customFormat="1" ht="15.75">
      <c r="A14" s="44" t="s">
        <v>11</v>
      </c>
      <c r="B14" s="44" t="s">
        <v>33</v>
      </c>
      <c r="C14" s="68">
        <v>416</v>
      </c>
      <c r="D14" s="64"/>
      <c r="E14" s="68">
        <v>419</v>
      </c>
      <c r="F14" s="81">
        <v>427</v>
      </c>
      <c r="G14" s="81">
        <v>426</v>
      </c>
      <c r="H14" s="68"/>
      <c r="I14" s="81">
        <v>424</v>
      </c>
      <c r="J14" s="68"/>
      <c r="K14" s="68">
        <v>418</v>
      </c>
      <c r="L14" s="55">
        <f t="shared" si="0"/>
        <v>2530</v>
      </c>
      <c r="M14" s="36">
        <v>3</v>
      </c>
      <c r="N14" s="36">
        <v>5</v>
      </c>
      <c r="O14" s="36">
        <v>-1</v>
      </c>
      <c r="P14" s="36">
        <v>0</v>
      </c>
    </row>
    <row r="15" spans="1:16" s="32" customFormat="1" ht="15.75">
      <c r="A15" s="48" t="s">
        <v>12</v>
      </c>
      <c r="B15" s="48" t="s">
        <v>25</v>
      </c>
      <c r="C15" s="83">
        <v>430</v>
      </c>
      <c r="D15" s="62"/>
      <c r="E15" s="61"/>
      <c r="F15" s="83">
        <v>423</v>
      </c>
      <c r="G15" s="83">
        <v>439</v>
      </c>
      <c r="H15" s="61"/>
      <c r="I15" s="61">
        <v>400</v>
      </c>
      <c r="J15" s="83">
        <v>424</v>
      </c>
      <c r="K15" s="83">
        <v>411</v>
      </c>
      <c r="L15" s="50">
        <f t="shared" si="0"/>
        <v>2527</v>
      </c>
      <c r="M15" s="26">
        <v>7</v>
      </c>
      <c r="N15" s="26">
        <v>1</v>
      </c>
      <c r="O15" s="26">
        <v>185</v>
      </c>
      <c r="P15" s="26">
        <v>2</v>
      </c>
    </row>
    <row r="16" spans="1:16" s="32" customFormat="1" ht="15.75">
      <c r="A16" s="48" t="s">
        <v>13</v>
      </c>
      <c r="B16" s="48" t="s">
        <v>23</v>
      </c>
      <c r="C16" s="61">
        <v>387</v>
      </c>
      <c r="D16" s="62"/>
      <c r="E16" s="61">
        <v>391</v>
      </c>
      <c r="F16" s="83">
        <v>418</v>
      </c>
      <c r="G16" s="83">
        <v>441</v>
      </c>
      <c r="H16" s="61"/>
      <c r="I16" s="83">
        <v>427</v>
      </c>
      <c r="J16" s="61"/>
      <c r="K16" s="83">
        <v>427</v>
      </c>
      <c r="L16" s="50">
        <f t="shared" si="0"/>
        <v>2491</v>
      </c>
      <c r="M16" s="26">
        <v>6</v>
      </c>
      <c r="N16" s="26">
        <v>2</v>
      </c>
      <c r="O16" s="26">
        <v>80</v>
      </c>
      <c r="P16" s="26">
        <v>2</v>
      </c>
    </row>
    <row r="17" spans="1:16" s="41" customFormat="1" ht="16.5" thickBot="1">
      <c r="A17" s="44" t="s">
        <v>14</v>
      </c>
      <c r="B17" s="44" t="s">
        <v>31</v>
      </c>
      <c r="C17" s="63"/>
      <c r="D17" s="97">
        <v>440</v>
      </c>
      <c r="E17" s="63">
        <v>429</v>
      </c>
      <c r="F17" s="63">
        <v>394</v>
      </c>
      <c r="G17" s="63">
        <v>424</v>
      </c>
      <c r="H17" s="63"/>
      <c r="I17" s="63">
        <v>393</v>
      </c>
      <c r="J17" s="63"/>
      <c r="K17" s="97">
        <v>454</v>
      </c>
      <c r="L17" s="52">
        <f t="shared" si="0"/>
        <v>2534</v>
      </c>
      <c r="M17" s="53">
        <v>2</v>
      </c>
      <c r="N17" s="53">
        <v>6</v>
      </c>
      <c r="O17" s="56">
        <f>L17-2702</f>
        <v>-168</v>
      </c>
      <c r="P17" s="53">
        <v>0</v>
      </c>
    </row>
    <row r="18" spans="3:11" ht="16.5" thickTop="1">
      <c r="C18" s="8">
        <f>SUM(C3:C17)</f>
        <v>5035</v>
      </c>
      <c r="D18" s="8">
        <f aca="true" t="shared" si="1" ref="D18:K18">SUM(D3:D17)</f>
        <v>2747</v>
      </c>
      <c r="E18" s="8">
        <f t="shared" si="1"/>
        <v>4549</v>
      </c>
      <c r="F18" s="8">
        <f t="shared" si="1"/>
        <v>2075</v>
      </c>
      <c r="G18" s="8">
        <f t="shared" si="1"/>
        <v>5577</v>
      </c>
      <c r="H18" s="8">
        <f t="shared" si="1"/>
        <v>3734</v>
      </c>
      <c r="I18" s="8">
        <f t="shared" si="1"/>
        <v>3240</v>
      </c>
      <c r="J18" s="8">
        <f t="shared" si="1"/>
        <v>2397</v>
      </c>
      <c r="K18" s="8">
        <f t="shared" si="1"/>
        <v>6041</v>
      </c>
    </row>
    <row r="19" spans="2:18" ht="33.75" customHeight="1">
      <c r="B19" s="16" t="s">
        <v>163</v>
      </c>
      <c r="C19" s="23">
        <f>C18/12</f>
        <v>419.5833333333333</v>
      </c>
      <c r="D19" s="23">
        <f>D18/6</f>
        <v>457.8333333333333</v>
      </c>
      <c r="E19" s="23">
        <f>E18/11</f>
        <v>413.54545454545456</v>
      </c>
      <c r="F19" s="23">
        <f>F18/5</f>
        <v>415</v>
      </c>
      <c r="G19" s="23">
        <f>G18/13</f>
        <v>429</v>
      </c>
      <c r="H19" s="23">
        <f>H18/9</f>
        <v>414.8888888888889</v>
      </c>
      <c r="I19" s="23">
        <f>I18/8</f>
        <v>405</v>
      </c>
      <c r="J19" s="23">
        <f>J18/6</f>
        <v>399.5</v>
      </c>
      <c r="K19" s="23">
        <f>K18/14</f>
        <v>431.5</v>
      </c>
      <c r="L19" s="3" t="s">
        <v>39</v>
      </c>
      <c r="M19" s="118" t="s">
        <v>144</v>
      </c>
      <c r="N19" s="118"/>
      <c r="O19" s="3" t="s">
        <v>40</v>
      </c>
      <c r="P19" s="15" t="s">
        <v>145</v>
      </c>
      <c r="R19" s="19" t="s">
        <v>159</v>
      </c>
    </row>
    <row r="20" spans="12:18" ht="15.75">
      <c r="L20" s="7">
        <f>SUM(L3:L17)</f>
        <v>35395</v>
      </c>
      <c r="M20" s="1">
        <f>SUM(M3:M17)</f>
        <v>59</v>
      </c>
      <c r="N20" s="1">
        <f>SUM(N3:N17)</f>
        <v>53</v>
      </c>
      <c r="O20" s="1">
        <f>SUM(O3:O17)</f>
        <v>393</v>
      </c>
      <c r="P20" s="1">
        <f>SUM(P3:P17)</f>
        <v>14</v>
      </c>
      <c r="R20" s="2">
        <f>M20-N20</f>
        <v>6</v>
      </c>
    </row>
    <row r="21" spans="3:4" ht="15.75">
      <c r="C21" s="119" t="s">
        <v>52</v>
      </c>
      <c r="D21" s="119"/>
    </row>
    <row r="22" spans="3:13" ht="15.75">
      <c r="C22" s="116" t="s">
        <v>168</v>
      </c>
      <c r="D22" s="116"/>
      <c r="L22" s="1" t="s">
        <v>164</v>
      </c>
      <c r="M22" s="24">
        <f>SUM(L3:L17)/14</f>
        <v>2528.214285714286</v>
      </c>
    </row>
    <row r="23" spans="3:4" ht="15.75">
      <c r="C23" s="117" t="s">
        <v>169</v>
      </c>
      <c r="D23" s="117"/>
    </row>
    <row r="24" spans="9:12" ht="15.75">
      <c r="I24" s="118" t="s">
        <v>199</v>
      </c>
      <c r="J24" s="118"/>
      <c r="K24" s="3" t="s">
        <v>200</v>
      </c>
      <c r="L24" s="19" t="s">
        <v>159</v>
      </c>
    </row>
    <row r="25" spans="1:12" ht="15.75">
      <c r="A25" s="92" t="s">
        <v>183</v>
      </c>
      <c r="B25" s="86"/>
      <c r="C25" s="73" t="s">
        <v>190</v>
      </c>
      <c r="D25" s="86" t="s">
        <v>184</v>
      </c>
      <c r="E25" s="93" t="s">
        <v>186</v>
      </c>
      <c r="F25" s="86"/>
      <c r="I25" s="5">
        <f>M20+M45</f>
        <v>118</v>
      </c>
      <c r="J25" s="5">
        <f>N20+N45</f>
        <v>106</v>
      </c>
      <c r="K25" s="5">
        <f>P20+P45</f>
        <v>26</v>
      </c>
      <c r="L25" s="1">
        <f>I25-J25</f>
        <v>12</v>
      </c>
    </row>
    <row r="28" ht="15.75">
      <c r="H28" s="21"/>
    </row>
    <row r="29" spans="2:16" ht="48" customHeight="1" thickBot="1">
      <c r="B29" s="6" t="s">
        <v>30</v>
      </c>
      <c r="C29" s="13" t="s">
        <v>88</v>
      </c>
      <c r="D29" s="13" t="s">
        <v>173</v>
      </c>
      <c r="E29" s="13" t="s">
        <v>172</v>
      </c>
      <c r="F29" s="96" t="s">
        <v>195</v>
      </c>
      <c r="G29" s="13" t="s">
        <v>89</v>
      </c>
      <c r="H29" s="13" t="s">
        <v>137</v>
      </c>
      <c r="I29" s="13" t="s">
        <v>178</v>
      </c>
      <c r="J29" s="13" t="s">
        <v>150</v>
      </c>
      <c r="K29" s="13" t="s">
        <v>155</v>
      </c>
      <c r="L29" s="3" t="s">
        <v>39</v>
      </c>
      <c r="M29" s="3" t="s">
        <v>29</v>
      </c>
      <c r="N29" s="3" t="s">
        <v>38</v>
      </c>
      <c r="O29" s="3" t="s">
        <v>40</v>
      </c>
      <c r="P29" s="15" t="s">
        <v>143</v>
      </c>
    </row>
    <row r="30" spans="1:16" s="32" customFormat="1" ht="15.75">
      <c r="A30" s="48" t="s">
        <v>198</v>
      </c>
      <c r="B30" s="48" t="s">
        <v>17</v>
      </c>
      <c r="C30" s="27">
        <v>418</v>
      </c>
      <c r="D30" s="27">
        <v>458</v>
      </c>
      <c r="E30" s="48">
        <v>412</v>
      </c>
      <c r="F30" s="48"/>
      <c r="G30" s="27">
        <v>449</v>
      </c>
      <c r="H30" s="48"/>
      <c r="I30" s="48"/>
      <c r="J30" s="48">
        <v>416</v>
      </c>
      <c r="K30" s="27">
        <v>441</v>
      </c>
      <c r="L30" s="26">
        <f>SUM(C30:K30)</f>
        <v>2594</v>
      </c>
      <c r="M30" s="26">
        <v>6</v>
      </c>
      <c r="N30" s="26">
        <v>2</v>
      </c>
      <c r="O30" s="26">
        <v>80</v>
      </c>
      <c r="P30" s="26">
        <v>2</v>
      </c>
    </row>
    <row r="31" spans="1:16" s="41" customFormat="1" ht="15.75">
      <c r="A31" s="44" t="s">
        <v>202</v>
      </c>
      <c r="B31" s="44" t="s">
        <v>15</v>
      </c>
      <c r="C31" s="44">
        <v>423</v>
      </c>
      <c r="D31" s="44">
        <v>412</v>
      </c>
      <c r="E31" s="44">
        <v>418</v>
      </c>
      <c r="F31" s="44"/>
      <c r="G31" s="85">
        <v>437</v>
      </c>
      <c r="H31" s="44"/>
      <c r="I31" s="85">
        <v>425</v>
      </c>
      <c r="J31" s="44"/>
      <c r="K31" s="85">
        <v>455</v>
      </c>
      <c r="L31" s="36">
        <f>SUM(C31:K31)</f>
        <v>2570</v>
      </c>
      <c r="M31" s="36">
        <v>5</v>
      </c>
      <c r="N31" s="36">
        <v>3</v>
      </c>
      <c r="O31" s="36">
        <f>L31-2527</f>
        <v>43</v>
      </c>
      <c r="P31" s="36">
        <v>2</v>
      </c>
    </row>
    <row r="32" spans="1:16" s="32" customFormat="1" ht="15.75">
      <c r="A32" s="48" t="s">
        <v>204</v>
      </c>
      <c r="B32" s="48" t="s">
        <v>16</v>
      </c>
      <c r="C32" s="48"/>
      <c r="D32" s="27">
        <v>464</v>
      </c>
      <c r="E32" s="48">
        <v>407</v>
      </c>
      <c r="F32" s="48"/>
      <c r="G32" s="48">
        <v>421</v>
      </c>
      <c r="H32" s="48"/>
      <c r="I32" s="48">
        <v>399</v>
      </c>
      <c r="J32" s="27">
        <v>441</v>
      </c>
      <c r="K32" s="48">
        <v>409</v>
      </c>
      <c r="L32" s="26">
        <f>SUM(C32:K32)</f>
        <v>2541</v>
      </c>
      <c r="M32" s="26">
        <v>2</v>
      </c>
      <c r="N32" s="26">
        <v>6</v>
      </c>
      <c r="O32" s="26">
        <v>-54</v>
      </c>
      <c r="P32" s="26">
        <v>0</v>
      </c>
    </row>
    <row r="33" spans="1:16" s="41" customFormat="1" ht="15.75">
      <c r="A33" s="44" t="s">
        <v>205</v>
      </c>
      <c r="B33" s="44" t="s">
        <v>28</v>
      </c>
      <c r="C33" s="44">
        <v>427</v>
      </c>
      <c r="D33" s="44"/>
      <c r="E33" s="44"/>
      <c r="F33" s="44"/>
      <c r="G33" s="85">
        <v>480</v>
      </c>
      <c r="H33" s="85">
        <v>453</v>
      </c>
      <c r="I33" s="85">
        <v>439</v>
      </c>
      <c r="J33" s="44">
        <v>362</v>
      </c>
      <c r="K33" s="44">
        <v>386</v>
      </c>
      <c r="L33" s="36">
        <f>SUM(C33:K33)</f>
        <v>2547</v>
      </c>
      <c r="M33" s="36">
        <v>3</v>
      </c>
      <c r="N33" s="36">
        <v>5</v>
      </c>
      <c r="O33" s="36">
        <f>L33-2573</f>
        <v>-26</v>
      </c>
      <c r="P33" s="36">
        <v>0</v>
      </c>
    </row>
    <row r="34" spans="1:16" s="32" customFormat="1" ht="15.75">
      <c r="A34" s="48" t="s">
        <v>207</v>
      </c>
      <c r="B34" s="48" t="s">
        <v>20</v>
      </c>
      <c r="C34" s="27">
        <v>439</v>
      </c>
      <c r="D34" s="27">
        <v>448</v>
      </c>
      <c r="E34" s="48">
        <v>412</v>
      </c>
      <c r="F34" s="48"/>
      <c r="G34" s="27">
        <v>427</v>
      </c>
      <c r="H34" s="48">
        <v>411</v>
      </c>
      <c r="I34" s="48"/>
      <c r="J34" s="48"/>
      <c r="K34" s="27">
        <v>425</v>
      </c>
      <c r="L34" s="26">
        <f>SUM(C34:K34)</f>
        <v>2562</v>
      </c>
      <c r="M34" s="26">
        <v>6</v>
      </c>
      <c r="N34" s="26">
        <v>2</v>
      </c>
      <c r="O34" s="26">
        <v>9</v>
      </c>
      <c r="P34" s="26">
        <v>2</v>
      </c>
    </row>
    <row r="35" spans="1:16" s="41" customFormat="1" ht="15.75">
      <c r="A35" s="44" t="s">
        <v>208</v>
      </c>
      <c r="B35" s="44" t="s">
        <v>27</v>
      </c>
      <c r="C35" s="44">
        <v>393</v>
      </c>
      <c r="D35" s="85">
        <v>432</v>
      </c>
      <c r="E35" s="44">
        <v>414</v>
      </c>
      <c r="F35" s="44"/>
      <c r="G35" s="85">
        <v>431</v>
      </c>
      <c r="H35" s="44"/>
      <c r="I35" s="85">
        <v>423</v>
      </c>
      <c r="J35" s="44"/>
      <c r="K35" s="44">
        <v>417</v>
      </c>
      <c r="L35" s="36">
        <f aca="true" t="shared" si="2" ref="L35:L44">SUM(C35:K35)</f>
        <v>2510</v>
      </c>
      <c r="M35" s="36">
        <v>3</v>
      </c>
      <c r="N35" s="36">
        <v>5</v>
      </c>
      <c r="O35" s="36">
        <v>-27</v>
      </c>
      <c r="P35" s="36">
        <v>0</v>
      </c>
    </row>
    <row r="36" spans="1:16" s="32" customFormat="1" ht="15.75">
      <c r="A36" s="48" t="s">
        <v>209</v>
      </c>
      <c r="B36" s="48" t="s">
        <v>26</v>
      </c>
      <c r="C36" s="48"/>
      <c r="D36" s="27">
        <v>462</v>
      </c>
      <c r="E36" s="48">
        <v>433</v>
      </c>
      <c r="F36" s="48"/>
      <c r="G36" s="27">
        <v>446</v>
      </c>
      <c r="H36" s="48"/>
      <c r="I36" s="48">
        <v>428</v>
      </c>
      <c r="J36" s="48">
        <v>421</v>
      </c>
      <c r="K36" s="27">
        <v>446</v>
      </c>
      <c r="L36" s="26">
        <f t="shared" si="2"/>
        <v>2636</v>
      </c>
      <c r="M36" s="26">
        <v>3</v>
      </c>
      <c r="N36" s="26">
        <v>5</v>
      </c>
      <c r="O36" s="26">
        <v>-50</v>
      </c>
      <c r="P36" s="26">
        <v>0</v>
      </c>
    </row>
    <row r="37" spans="1:16" s="41" customFormat="1" ht="15.75">
      <c r="A37" s="44" t="s">
        <v>210</v>
      </c>
      <c r="B37" s="44" t="s">
        <v>18</v>
      </c>
      <c r="C37" s="85">
        <v>422</v>
      </c>
      <c r="D37" s="44"/>
      <c r="E37" s="85">
        <v>434</v>
      </c>
      <c r="F37" s="44">
        <v>414</v>
      </c>
      <c r="G37" s="85">
        <v>447</v>
      </c>
      <c r="H37" s="44"/>
      <c r="I37" s="44">
        <v>405</v>
      </c>
      <c r="J37" s="44"/>
      <c r="K37" s="85">
        <v>442</v>
      </c>
      <c r="L37" s="36">
        <f t="shared" si="2"/>
        <v>2564</v>
      </c>
      <c r="M37" s="36">
        <v>6</v>
      </c>
      <c r="N37" s="36">
        <v>2</v>
      </c>
      <c r="O37" s="36">
        <f>L37-2388</f>
        <v>176</v>
      </c>
      <c r="P37" s="36">
        <v>2</v>
      </c>
    </row>
    <row r="38" spans="1:16" s="32" customFormat="1" ht="15.75">
      <c r="A38" s="48" t="s">
        <v>211</v>
      </c>
      <c r="B38" s="48" t="s">
        <v>31</v>
      </c>
      <c r="C38" s="27">
        <v>447</v>
      </c>
      <c r="D38" s="27">
        <v>452</v>
      </c>
      <c r="E38" s="27">
        <v>437</v>
      </c>
      <c r="F38" s="48"/>
      <c r="G38" s="48"/>
      <c r="H38" s="48"/>
      <c r="I38" s="48">
        <v>401</v>
      </c>
      <c r="J38" s="48">
        <v>414</v>
      </c>
      <c r="K38" s="48">
        <v>424</v>
      </c>
      <c r="L38" s="26">
        <f t="shared" si="2"/>
        <v>2575</v>
      </c>
      <c r="M38" s="26">
        <v>3</v>
      </c>
      <c r="N38" s="26">
        <v>5</v>
      </c>
      <c r="O38" s="26">
        <v>-22</v>
      </c>
      <c r="P38" s="26">
        <v>0</v>
      </c>
    </row>
    <row r="39" spans="1:16" s="41" customFormat="1" ht="15.75">
      <c r="A39" s="44" t="s">
        <v>212</v>
      </c>
      <c r="B39" s="44" t="s">
        <v>23</v>
      </c>
      <c r="C39" s="44">
        <v>356</v>
      </c>
      <c r="D39" s="44">
        <v>394</v>
      </c>
      <c r="E39" s="44">
        <v>402</v>
      </c>
      <c r="F39" s="85">
        <v>420</v>
      </c>
      <c r="G39" s="44"/>
      <c r="H39" s="44"/>
      <c r="I39" s="44">
        <v>398</v>
      </c>
      <c r="J39" s="44"/>
      <c r="K39" s="85">
        <v>411</v>
      </c>
      <c r="L39" s="36">
        <f t="shared" si="2"/>
        <v>2381</v>
      </c>
      <c r="M39" s="36">
        <v>3</v>
      </c>
      <c r="N39" s="36">
        <v>5</v>
      </c>
      <c r="O39" s="36">
        <v>-25</v>
      </c>
      <c r="P39" s="36">
        <v>0</v>
      </c>
    </row>
    <row r="40" spans="1:16" s="41" customFormat="1" ht="15.75">
      <c r="A40" s="44" t="s">
        <v>213</v>
      </c>
      <c r="B40" s="44" t="s">
        <v>25</v>
      </c>
      <c r="C40" s="85">
        <v>453</v>
      </c>
      <c r="D40" s="44"/>
      <c r="E40" s="44"/>
      <c r="F40" s="85">
        <v>416</v>
      </c>
      <c r="G40" s="85">
        <v>410</v>
      </c>
      <c r="H40" s="44">
        <v>393</v>
      </c>
      <c r="I40" s="44">
        <v>396</v>
      </c>
      <c r="J40" s="44"/>
      <c r="K40" s="85">
        <v>419</v>
      </c>
      <c r="L40" s="36">
        <f t="shared" si="2"/>
        <v>2487</v>
      </c>
      <c r="M40" s="36">
        <v>6</v>
      </c>
      <c r="N40" s="36">
        <v>2</v>
      </c>
      <c r="O40" s="36">
        <v>159</v>
      </c>
      <c r="P40" s="36">
        <v>2</v>
      </c>
    </row>
    <row r="41" spans="1:16" s="32" customFormat="1" ht="15.75">
      <c r="A41" s="48" t="s">
        <v>214</v>
      </c>
      <c r="B41" s="48" t="s">
        <v>33</v>
      </c>
      <c r="C41" s="48">
        <v>407</v>
      </c>
      <c r="D41" s="27">
        <v>464</v>
      </c>
      <c r="E41" s="27">
        <v>438</v>
      </c>
      <c r="F41" s="48"/>
      <c r="G41" s="48"/>
      <c r="H41" s="27">
        <v>444</v>
      </c>
      <c r="I41" s="48"/>
      <c r="J41" s="48">
        <v>398</v>
      </c>
      <c r="K41" s="48">
        <v>406</v>
      </c>
      <c r="L41" s="26">
        <f t="shared" si="2"/>
        <v>2557</v>
      </c>
      <c r="M41" s="26">
        <v>5</v>
      </c>
      <c r="N41" s="26">
        <v>3</v>
      </c>
      <c r="O41" s="26">
        <v>107</v>
      </c>
      <c r="P41" s="26">
        <v>2</v>
      </c>
    </row>
    <row r="42" spans="1:16" s="41" customFormat="1" ht="15.75">
      <c r="A42" s="44" t="s">
        <v>215</v>
      </c>
      <c r="B42" s="44" t="s">
        <v>21</v>
      </c>
      <c r="C42" s="44">
        <v>403</v>
      </c>
      <c r="D42" s="44"/>
      <c r="E42" s="44">
        <v>375</v>
      </c>
      <c r="F42" s="44"/>
      <c r="G42" s="85">
        <v>436</v>
      </c>
      <c r="H42" s="44">
        <v>393</v>
      </c>
      <c r="I42" s="44">
        <v>398</v>
      </c>
      <c r="J42" s="44"/>
      <c r="K42" s="85">
        <v>438</v>
      </c>
      <c r="L42" s="36">
        <f t="shared" si="2"/>
        <v>2443</v>
      </c>
      <c r="M42" s="36">
        <v>2</v>
      </c>
      <c r="N42" s="36">
        <v>6</v>
      </c>
      <c r="O42" s="36">
        <v>-13</v>
      </c>
      <c r="P42" s="36">
        <v>0</v>
      </c>
    </row>
    <row r="43" spans="1:16" s="32" customFormat="1" ht="15.75">
      <c r="A43" s="48" t="s">
        <v>216</v>
      </c>
      <c r="B43" s="48" t="s">
        <v>19</v>
      </c>
      <c r="C43" s="27">
        <v>423</v>
      </c>
      <c r="D43" s="27">
        <v>485</v>
      </c>
      <c r="E43" s="27">
        <v>452</v>
      </c>
      <c r="F43" s="48"/>
      <c r="G43" s="48"/>
      <c r="H43" s="48">
        <v>410</v>
      </c>
      <c r="I43" s="27">
        <v>419</v>
      </c>
      <c r="J43" s="48"/>
      <c r="K43" s="48">
        <v>410</v>
      </c>
      <c r="L43" s="26">
        <f t="shared" si="2"/>
        <v>2599</v>
      </c>
      <c r="M43" s="26">
        <v>6</v>
      </c>
      <c r="N43" s="26">
        <v>2</v>
      </c>
      <c r="O43" s="26"/>
      <c r="P43" s="26"/>
    </row>
    <row r="44" spans="1:16" s="104" customFormat="1" ht="16.5" thickBot="1">
      <c r="A44" s="107" t="s">
        <v>217</v>
      </c>
      <c r="B44" s="107" t="s">
        <v>24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3">
        <f t="shared" si="2"/>
        <v>0</v>
      </c>
      <c r="M44" s="108"/>
      <c r="N44" s="108"/>
      <c r="O44" s="108"/>
      <c r="P44" s="108"/>
    </row>
    <row r="45" spans="13:16" ht="16.5" thickTop="1">
      <c r="M45" s="1">
        <f>SUM(M30:M44)</f>
        <v>59</v>
      </c>
      <c r="N45" s="1">
        <f>SUM(N30:N44)</f>
        <v>53</v>
      </c>
      <c r="O45" s="1">
        <f>SUM(O30:O44)</f>
        <v>357</v>
      </c>
      <c r="P45" s="1">
        <f>SUM(P30:P44)</f>
        <v>12</v>
      </c>
    </row>
  </sheetData>
  <mergeCells count="7">
    <mergeCell ref="M1:N1"/>
    <mergeCell ref="C21:D21"/>
    <mergeCell ref="M19:N19"/>
    <mergeCell ref="I24:J24"/>
    <mergeCell ref="C22:D22"/>
    <mergeCell ref="C23:D23"/>
    <mergeCell ref="C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="89" zoomScaleNormal="89" workbookViewId="0" topLeftCell="B22">
      <selection activeCell="Q45" sqref="Q45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1.875" style="1" customWidth="1"/>
    <col min="10" max="10" width="9.00390625" style="1" customWidth="1"/>
    <col min="11" max="11" width="11.75390625" style="1" customWidth="1"/>
    <col min="12" max="12" width="9.125" style="1" customWidth="1"/>
    <col min="13" max="13" width="15.87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1.875" style="1" customWidth="1"/>
    <col min="19" max="19" width="15.75390625" style="0" bestFit="1" customWidth="1"/>
  </cols>
  <sheetData>
    <row r="1" spans="3:20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  <c r="R1" s="2"/>
      <c r="S1" s="2"/>
      <c r="T1" s="2"/>
    </row>
    <row r="2" spans="2:20" ht="36.75" customHeight="1" thickBot="1">
      <c r="B2" s="3" t="s">
        <v>30</v>
      </c>
      <c r="C2" s="13" t="s">
        <v>193</v>
      </c>
      <c r="D2" s="13" t="s">
        <v>59</v>
      </c>
      <c r="E2" s="13" t="s">
        <v>60</v>
      </c>
      <c r="F2" s="13" t="s">
        <v>61</v>
      </c>
      <c r="G2" s="13" t="s">
        <v>62</v>
      </c>
      <c r="H2" s="13" t="s">
        <v>166</v>
      </c>
      <c r="I2" s="13" t="s">
        <v>147</v>
      </c>
      <c r="J2" s="13" t="s">
        <v>148</v>
      </c>
      <c r="K2" s="13" t="s">
        <v>149</v>
      </c>
      <c r="L2" s="13" t="s">
        <v>153</v>
      </c>
      <c r="M2" s="6" t="s">
        <v>39</v>
      </c>
      <c r="N2" s="3" t="s">
        <v>15</v>
      </c>
      <c r="O2" s="3" t="s">
        <v>38</v>
      </c>
      <c r="P2" s="3" t="s">
        <v>40</v>
      </c>
      <c r="Q2" s="15" t="s">
        <v>143</v>
      </c>
      <c r="R2" s="2"/>
      <c r="S2" s="2"/>
      <c r="T2" s="2"/>
    </row>
    <row r="3" spans="1:17" s="41" customFormat="1" ht="15.75">
      <c r="A3" s="36" t="s">
        <v>0</v>
      </c>
      <c r="B3" s="36" t="s">
        <v>17</v>
      </c>
      <c r="C3" s="59"/>
      <c r="D3" s="72">
        <v>431</v>
      </c>
      <c r="E3" s="72">
        <v>430</v>
      </c>
      <c r="F3" s="64"/>
      <c r="G3" s="59">
        <v>393</v>
      </c>
      <c r="H3" s="59">
        <v>398</v>
      </c>
      <c r="I3" s="59"/>
      <c r="J3" s="59"/>
      <c r="K3" s="72">
        <v>440</v>
      </c>
      <c r="L3" s="59">
        <v>412</v>
      </c>
      <c r="M3" s="55">
        <f>SUM(C3:L3)</f>
        <v>2504</v>
      </c>
      <c r="N3" s="36">
        <v>3</v>
      </c>
      <c r="O3" s="36">
        <v>5</v>
      </c>
      <c r="P3" s="36">
        <v>-27</v>
      </c>
      <c r="Q3" s="36">
        <v>0</v>
      </c>
    </row>
    <row r="4" spans="1:17" s="57" customFormat="1" ht="15.75">
      <c r="A4" s="1" t="s">
        <v>1</v>
      </c>
      <c r="B4" s="21" t="s">
        <v>24</v>
      </c>
      <c r="C4" s="73"/>
      <c r="D4" s="73"/>
      <c r="E4" s="73"/>
      <c r="F4" s="65"/>
      <c r="G4" s="73"/>
      <c r="H4" s="73"/>
      <c r="I4" s="73"/>
      <c r="J4" s="73"/>
      <c r="K4" s="73"/>
      <c r="L4" s="18"/>
      <c r="M4" s="12">
        <f aca="true" t="shared" si="0" ref="M4:M17">SUM(C4:L4)</f>
        <v>0</v>
      </c>
      <c r="N4" s="1"/>
      <c r="O4" s="1"/>
      <c r="P4" s="1"/>
      <c r="Q4" s="1"/>
    </row>
    <row r="5" spans="1:17" s="41" customFormat="1" ht="15.75">
      <c r="A5" s="36" t="s">
        <v>2</v>
      </c>
      <c r="B5" s="36" t="s">
        <v>19</v>
      </c>
      <c r="C5" s="59"/>
      <c r="D5" s="59">
        <v>416</v>
      </c>
      <c r="E5" s="59">
        <v>399</v>
      </c>
      <c r="F5" s="72">
        <v>426</v>
      </c>
      <c r="G5" s="59"/>
      <c r="H5" s="59"/>
      <c r="I5" s="59"/>
      <c r="J5" s="59">
        <v>379</v>
      </c>
      <c r="K5" s="72">
        <v>421</v>
      </c>
      <c r="L5" s="72">
        <v>456</v>
      </c>
      <c r="M5" s="55">
        <f t="shared" si="0"/>
        <v>2497</v>
      </c>
      <c r="N5" s="36">
        <v>3</v>
      </c>
      <c r="O5" s="36">
        <v>5</v>
      </c>
      <c r="P5" s="36">
        <v>-41</v>
      </c>
      <c r="Q5" s="36">
        <v>0</v>
      </c>
    </row>
    <row r="6" spans="1:17" s="32" customFormat="1" ht="15.75">
      <c r="A6" s="26" t="s">
        <v>3</v>
      </c>
      <c r="B6" s="26" t="s">
        <v>21</v>
      </c>
      <c r="C6" s="58"/>
      <c r="D6" s="58"/>
      <c r="E6" s="62">
        <v>383</v>
      </c>
      <c r="F6" s="58">
        <v>411</v>
      </c>
      <c r="G6" s="66">
        <v>424</v>
      </c>
      <c r="H6" s="66">
        <v>465</v>
      </c>
      <c r="I6" s="58"/>
      <c r="J6" s="58"/>
      <c r="K6" s="66">
        <v>414</v>
      </c>
      <c r="L6" s="66">
        <v>439</v>
      </c>
      <c r="M6" s="50">
        <f t="shared" si="0"/>
        <v>2536</v>
      </c>
      <c r="N6" s="26">
        <v>6</v>
      </c>
      <c r="O6" s="26">
        <v>2</v>
      </c>
      <c r="P6" s="26">
        <v>136</v>
      </c>
      <c r="Q6" s="26">
        <v>2</v>
      </c>
    </row>
    <row r="7" spans="1:17" s="41" customFormat="1" ht="15.75">
      <c r="A7" s="36" t="s">
        <v>4</v>
      </c>
      <c r="B7" s="36" t="s">
        <v>22</v>
      </c>
      <c r="C7" s="59"/>
      <c r="D7" s="59"/>
      <c r="E7" s="64">
        <v>396</v>
      </c>
      <c r="F7" s="64">
        <v>405</v>
      </c>
      <c r="G7" s="72">
        <v>422</v>
      </c>
      <c r="H7" s="72">
        <v>439</v>
      </c>
      <c r="I7" s="59"/>
      <c r="J7" s="59"/>
      <c r="K7" s="72">
        <v>406</v>
      </c>
      <c r="L7" s="72">
        <v>467</v>
      </c>
      <c r="M7" s="55">
        <f t="shared" si="0"/>
        <v>2535</v>
      </c>
      <c r="N7" s="36">
        <v>6</v>
      </c>
      <c r="O7" s="36">
        <v>2</v>
      </c>
      <c r="P7" s="39">
        <f>M7-2485</f>
        <v>50</v>
      </c>
      <c r="Q7" s="36">
        <v>2</v>
      </c>
    </row>
    <row r="8" spans="1:17" s="32" customFormat="1" ht="15.75">
      <c r="A8" s="26" t="s">
        <v>5</v>
      </c>
      <c r="B8" s="26" t="s">
        <v>25</v>
      </c>
      <c r="C8" s="58"/>
      <c r="D8" s="66">
        <v>438</v>
      </c>
      <c r="E8" s="66">
        <v>453</v>
      </c>
      <c r="F8" s="66">
        <v>419</v>
      </c>
      <c r="G8" s="66">
        <v>435</v>
      </c>
      <c r="H8" s="58"/>
      <c r="I8" s="58">
        <v>366</v>
      </c>
      <c r="J8" s="58"/>
      <c r="K8" s="66">
        <v>428</v>
      </c>
      <c r="L8" s="58"/>
      <c r="M8" s="50">
        <f t="shared" si="0"/>
        <v>2539</v>
      </c>
      <c r="N8" s="26">
        <v>7</v>
      </c>
      <c r="O8" s="26">
        <v>1</v>
      </c>
      <c r="P8" s="26">
        <v>221</v>
      </c>
      <c r="Q8" s="26">
        <v>2</v>
      </c>
    </row>
    <row r="9" spans="1:17" s="41" customFormat="1" ht="15.75">
      <c r="A9" s="36" t="s">
        <v>6</v>
      </c>
      <c r="B9" s="36" t="s">
        <v>29</v>
      </c>
      <c r="C9" s="59"/>
      <c r="D9" s="72">
        <v>426</v>
      </c>
      <c r="E9" s="64">
        <v>411</v>
      </c>
      <c r="F9" s="64"/>
      <c r="G9" s="72">
        <v>430</v>
      </c>
      <c r="H9" s="72">
        <v>439</v>
      </c>
      <c r="I9" s="59"/>
      <c r="J9" s="59"/>
      <c r="K9" s="59">
        <v>410</v>
      </c>
      <c r="L9" s="59">
        <v>415</v>
      </c>
      <c r="M9" s="55">
        <f t="shared" si="0"/>
        <v>2531</v>
      </c>
      <c r="N9" s="36">
        <v>3</v>
      </c>
      <c r="O9" s="36">
        <v>5</v>
      </c>
      <c r="P9" s="36">
        <v>-15</v>
      </c>
      <c r="Q9" s="36">
        <v>0</v>
      </c>
    </row>
    <row r="10" spans="1:17" s="32" customFormat="1" ht="15.75">
      <c r="A10" s="26" t="s">
        <v>7</v>
      </c>
      <c r="B10" s="26" t="s">
        <v>31</v>
      </c>
      <c r="C10" s="58"/>
      <c r="D10" s="58">
        <v>428</v>
      </c>
      <c r="E10" s="62">
        <v>405</v>
      </c>
      <c r="F10" s="62">
        <v>394</v>
      </c>
      <c r="G10" s="66">
        <v>437</v>
      </c>
      <c r="H10" s="58">
        <v>421</v>
      </c>
      <c r="I10" s="58"/>
      <c r="J10" s="58"/>
      <c r="K10" s="58"/>
      <c r="L10" s="66">
        <v>448</v>
      </c>
      <c r="M10" s="50">
        <f t="shared" si="0"/>
        <v>2533</v>
      </c>
      <c r="N10" s="26">
        <v>2</v>
      </c>
      <c r="O10" s="26">
        <v>6</v>
      </c>
      <c r="P10" s="30">
        <f>M10-2692</f>
        <v>-159</v>
      </c>
      <c r="Q10" s="26">
        <v>0</v>
      </c>
    </row>
    <row r="11" spans="1:17" s="41" customFormat="1" ht="15.75">
      <c r="A11" s="36" t="s">
        <v>8</v>
      </c>
      <c r="B11" s="36" t="s">
        <v>18</v>
      </c>
      <c r="C11" s="59">
        <v>344</v>
      </c>
      <c r="D11" s="59"/>
      <c r="E11" s="64"/>
      <c r="F11" s="64"/>
      <c r="G11" s="59">
        <v>374</v>
      </c>
      <c r="H11" s="59">
        <v>391</v>
      </c>
      <c r="I11" s="59"/>
      <c r="J11" s="59">
        <v>393</v>
      </c>
      <c r="K11" s="72">
        <v>419</v>
      </c>
      <c r="L11" s="72">
        <v>428</v>
      </c>
      <c r="M11" s="55">
        <f t="shared" si="0"/>
        <v>2349</v>
      </c>
      <c r="N11" s="36">
        <v>2</v>
      </c>
      <c r="O11" s="36">
        <v>6</v>
      </c>
      <c r="P11" s="39">
        <f>M11-2470</f>
        <v>-121</v>
      </c>
      <c r="Q11" s="36">
        <v>0</v>
      </c>
    </row>
    <row r="12" spans="1:17" s="32" customFormat="1" ht="15.75">
      <c r="A12" s="26" t="s">
        <v>9</v>
      </c>
      <c r="B12" s="26" t="s">
        <v>26</v>
      </c>
      <c r="C12" s="58"/>
      <c r="D12" s="58">
        <v>427</v>
      </c>
      <c r="E12" s="62">
        <v>420</v>
      </c>
      <c r="F12" s="58"/>
      <c r="G12" s="58">
        <v>432</v>
      </c>
      <c r="H12" s="66">
        <v>443</v>
      </c>
      <c r="I12" s="58"/>
      <c r="J12" s="58"/>
      <c r="K12" s="66">
        <v>446</v>
      </c>
      <c r="L12" s="58">
        <v>426</v>
      </c>
      <c r="M12" s="50">
        <f t="shared" si="0"/>
        <v>2594</v>
      </c>
      <c r="N12" s="26">
        <v>2</v>
      </c>
      <c r="O12" s="26">
        <v>6</v>
      </c>
      <c r="P12" s="26">
        <v>-13</v>
      </c>
      <c r="Q12" s="26">
        <v>0</v>
      </c>
    </row>
    <row r="13" spans="1:17" s="41" customFormat="1" ht="15.75">
      <c r="A13" s="36" t="s">
        <v>10</v>
      </c>
      <c r="B13" s="36" t="s">
        <v>27</v>
      </c>
      <c r="C13" s="59"/>
      <c r="D13" s="72">
        <v>442</v>
      </c>
      <c r="E13" s="64">
        <v>420</v>
      </c>
      <c r="F13" s="72">
        <v>444</v>
      </c>
      <c r="G13" s="59">
        <v>418</v>
      </c>
      <c r="H13" s="72">
        <v>438</v>
      </c>
      <c r="I13" s="59"/>
      <c r="J13" s="59"/>
      <c r="K13" s="59">
        <v>424</v>
      </c>
      <c r="L13" s="59"/>
      <c r="M13" s="55">
        <f t="shared" si="0"/>
        <v>2586</v>
      </c>
      <c r="N13" s="36">
        <v>5</v>
      </c>
      <c r="O13" s="36">
        <v>3</v>
      </c>
      <c r="P13" s="36">
        <v>12</v>
      </c>
      <c r="Q13" s="36">
        <v>2</v>
      </c>
    </row>
    <row r="14" spans="1:17" s="32" customFormat="1" ht="15.75">
      <c r="A14" s="26" t="s">
        <v>11</v>
      </c>
      <c r="B14" s="26" t="s">
        <v>20</v>
      </c>
      <c r="C14" s="58"/>
      <c r="D14" s="66">
        <v>448</v>
      </c>
      <c r="E14" s="62"/>
      <c r="F14" s="66">
        <v>458</v>
      </c>
      <c r="G14" s="58"/>
      <c r="H14" s="66">
        <v>418</v>
      </c>
      <c r="I14" s="58"/>
      <c r="J14" s="58">
        <v>411</v>
      </c>
      <c r="K14" s="58">
        <v>381</v>
      </c>
      <c r="L14" s="58">
        <v>410</v>
      </c>
      <c r="M14" s="50">
        <f t="shared" si="0"/>
        <v>2526</v>
      </c>
      <c r="N14" s="26">
        <v>5</v>
      </c>
      <c r="O14" s="26">
        <v>3</v>
      </c>
      <c r="P14" s="30">
        <f>M14-2475</f>
        <v>51</v>
      </c>
      <c r="Q14" s="26">
        <v>2</v>
      </c>
    </row>
    <row r="15" spans="1:17" s="41" customFormat="1" ht="15.75">
      <c r="A15" s="36" t="s">
        <v>12</v>
      </c>
      <c r="B15" s="36" t="s">
        <v>28</v>
      </c>
      <c r="C15" s="59"/>
      <c r="D15" s="59">
        <v>412</v>
      </c>
      <c r="E15" s="72">
        <v>418</v>
      </c>
      <c r="F15" s="72">
        <v>476</v>
      </c>
      <c r="G15" s="59">
        <v>415</v>
      </c>
      <c r="H15" s="72">
        <v>417</v>
      </c>
      <c r="I15" s="59"/>
      <c r="J15" s="59"/>
      <c r="K15" s="59">
        <v>378</v>
      </c>
      <c r="L15" s="59"/>
      <c r="M15" s="55">
        <f t="shared" si="0"/>
        <v>2516</v>
      </c>
      <c r="N15" s="36">
        <v>3</v>
      </c>
      <c r="O15" s="36">
        <v>5</v>
      </c>
      <c r="P15" s="36">
        <v>-14</v>
      </c>
      <c r="Q15" s="36">
        <v>0</v>
      </c>
    </row>
    <row r="16" spans="1:17" s="32" customFormat="1" ht="15.75">
      <c r="A16" s="26" t="s">
        <v>13</v>
      </c>
      <c r="B16" s="26" t="s">
        <v>16</v>
      </c>
      <c r="C16" s="58"/>
      <c r="D16" s="66">
        <v>437</v>
      </c>
      <c r="E16" s="62">
        <v>415</v>
      </c>
      <c r="F16" s="58">
        <v>386</v>
      </c>
      <c r="G16" s="58"/>
      <c r="H16" s="58">
        <v>396</v>
      </c>
      <c r="I16" s="58"/>
      <c r="J16" s="58">
        <v>399</v>
      </c>
      <c r="K16" s="58"/>
      <c r="L16" s="66">
        <v>456</v>
      </c>
      <c r="M16" s="50">
        <f t="shared" si="0"/>
        <v>2489</v>
      </c>
      <c r="N16" s="26">
        <v>2</v>
      </c>
      <c r="O16" s="26">
        <v>6</v>
      </c>
      <c r="P16" s="26">
        <v>-86</v>
      </c>
      <c r="Q16" s="26">
        <v>0</v>
      </c>
    </row>
    <row r="17" spans="1:17" s="41" customFormat="1" ht="16.5" thickBot="1">
      <c r="A17" s="36" t="s">
        <v>14</v>
      </c>
      <c r="B17" s="36" t="s">
        <v>23</v>
      </c>
      <c r="C17" s="63"/>
      <c r="D17" s="97">
        <v>413</v>
      </c>
      <c r="E17" s="63"/>
      <c r="F17" s="97">
        <v>418</v>
      </c>
      <c r="G17" s="97">
        <v>442</v>
      </c>
      <c r="H17" s="63"/>
      <c r="I17" s="63"/>
      <c r="J17" s="97">
        <v>410</v>
      </c>
      <c r="K17" s="63">
        <v>405</v>
      </c>
      <c r="L17" s="97">
        <v>421</v>
      </c>
      <c r="M17" s="52">
        <f t="shared" si="0"/>
        <v>2509</v>
      </c>
      <c r="N17" s="53">
        <v>7</v>
      </c>
      <c r="O17" s="53">
        <v>1</v>
      </c>
      <c r="P17" s="56">
        <f>M17-2368</f>
        <v>141</v>
      </c>
      <c r="Q17" s="53">
        <v>2</v>
      </c>
    </row>
    <row r="18" spans="3:12" ht="16.5" thickTop="1">
      <c r="C18" s="7">
        <f>SUM(C3:C17)</f>
        <v>344</v>
      </c>
      <c r="D18" s="7">
        <f aca="true" t="shared" si="1" ref="D18:L18">SUM(D3:D17)</f>
        <v>4718</v>
      </c>
      <c r="E18" s="7">
        <f t="shared" si="1"/>
        <v>4550</v>
      </c>
      <c r="F18" s="7">
        <f>SUM(F3:F17)</f>
        <v>4237</v>
      </c>
      <c r="G18" s="7">
        <f t="shared" si="1"/>
        <v>4622</v>
      </c>
      <c r="H18" s="7">
        <f t="shared" si="1"/>
        <v>4665</v>
      </c>
      <c r="I18" s="7">
        <f t="shared" si="1"/>
        <v>366</v>
      </c>
      <c r="J18" s="7">
        <f t="shared" si="1"/>
        <v>1992</v>
      </c>
      <c r="K18" s="7">
        <f t="shared" si="1"/>
        <v>4972</v>
      </c>
      <c r="L18" s="7">
        <f t="shared" si="1"/>
        <v>4778</v>
      </c>
    </row>
    <row r="19" spans="2:19" ht="33.75" customHeight="1">
      <c r="B19" s="16" t="s">
        <v>163</v>
      </c>
      <c r="C19" s="22">
        <f>C18/1</f>
        <v>344</v>
      </c>
      <c r="D19" s="22">
        <f>D18/11</f>
        <v>428.90909090909093</v>
      </c>
      <c r="E19" s="22">
        <f>E18/11</f>
        <v>413.6363636363636</v>
      </c>
      <c r="F19" s="22">
        <f>F18/10</f>
        <v>423.7</v>
      </c>
      <c r="G19" s="22">
        <f>G18/11</f>
        <v>420.1818181818182</v>
      </c>
      <c r="H19" s="22">
        <f>H18/11</f>
        <v>424.09090909090907</v>
      </c>
      <c r="I19" s="22">
        <f>I18/1</f>
        <v>366</v>
      </c>
      <c r="J19" s="22">
        <f>J18/5</f>
        <v>398.4</v>
      </c>
      <c r="K19" s="22">
        <f>K18/12</f>
        <v>414.3333333333333</v>
      </c>
      <c r="L19" s="22">
        <f>L18/11</f>
        <v>434.3636363636364</v>
      </c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35244</v>
      </c>
      <c r="N20" s="1">
        <f>SUM(N3:N17)</f>
        <v>56</v>
      </c>
      <c r="O20" s="1">
        <f>SUM(O3:O17)</f>
        <v>56</v>
      </c>
      <c r="P20" s="1">
        <f>SUM(P3:P17)</f>
        <v>135</v>
      </c>
      <c r="Q20" s="1">
        <f>SUM(Q3:Q17)</f>
        <v>12</v>
      </c>
      <c r="S20" s="2">
        <f>N20-O20</f>
        <v>0</v>
      </c>
    </row>
    <row r="22" spans="3:14" ht="15.75">
      <c r="C22" s="119" t="s">
        <v>52</v>
      </c>
      <c r="D22" s="119"/>
      <c r="M22" s="1" t="s">
        <v>164</v>
      </c>
      <c r="N22" s="24">
        <f>SUM(M3:M17)/14</f>
        <v>2517.4285714285716</v>
      </c>
    </row>
    <row r="23" spans="3:4" ht="15.75">
      <c r="C23" s="116" t="s">
        <v>168</v>
      </c>
      <c r="D23" s="116"/>
    </row>
    <row r="24" spans="3:13" ht="15.75">
      <c r="C24" s="117" t="s">
        <v>169</v>
      </c>
      <c r="D24" s="117"/>
      <c r="I24" s="120" t="s">
        <v>199</v>
      </c>
      <c r="J24" s="120"/>
      <c r="K24" s="16" t="s">
        <v>200</v>
      </c>
      <c r="L24" s="120" t="s">
        <v>159</v>
      </c>
      <c r="M24" s="120"/>
    </row>
    <row r="25" spans="9:13" ht="15.75">
      <c r="I25" s="1">
        <f>N20+N45</f>
        <v>121</v>
      </c>
      <c r="J25" s="1">
        <f>O20+O45</f>
        <v>103</v>
      </c>
      <c r="K25" s="1">
        <f>Q20+Q45</f>
        <v>30</v>
      </c>
      <c r="L25" s="115">
        <f>I25-J25</f>
        <v>18</v>
      </c>
      <c r="M25" s="115"/>
    </row>
    <row r="26" spans="1:6" ht="15.75">
      <c r="A26" s="92" t="s">
        <v>183</v>
      </c>
      <c r="B26" s="86"/>
      <c r="C26" s="86" t="s">
        <v>180</v>
      </c>
      <c r="D26" s="86" t="s">
        <v>184</v>
      </c>
      <c r="E26" s="91" t="s">
        <v>182</v>
      </c>
      <c r="F26" s="86"/>
    </row>
    <row r="27" spans="1:6" ht="15.75">
      <c r="A27" s="92"/>
      <c r="B27" s="86"/>
      <c r="C27" s="86"/>
      <c r="D27" s="86"/>
      <c r="E27" s="91"/>
      <c r="F27" s="86"/>
    </row>
    <row r="28" spans="1:6" ht="15.75">
      <c r="A28" s="92"/>
      <c r="B28" s="86"/>
      <c r="C28" s="86"/>
      <c r="D28" s="86"/>
      <c r="E28" s="91"/>
      <c r="F28" s="86"/>
    </row>
    <row r="29" spans="2:20" ht="36.75" customHeight="1" thickBot="1">
      <c r="B29" s="3" t="s">
        <v>30</v>
      </c>
      <c r="C29" s="13" t="s">
        <v>193</v>
      </c>
      <c r="D29" s="13" t="s">
        <v>59</v>
      </c>
      <c r="E29" s="13" t="s">
        <v>60</v>
      </c>
      <c r="F29" s="13" t="s">
        <v>61</v>
      </c>
      <c r="G29" s="13" t="s">
        <v>62</v>
      </c>
      <c r="H29" s="13" t="s">
        <v>166</v>
      </c>
      <c r="I29" s="13" t="s">
        <v>147</v>
      </c>
      <c r="J29" s="13" t="s">
        <v>148</v>
      </c>
      <c r="K29" s="13" t="s">
        <v>149</v>
      </c>
      <c r="L29" s="13" t="s">
        <v>153</v>
      </c>
      <c r="M29" s="6" t="s">
        <v>39</v>
      </c>
      <c r="N29" s="3" t="s">
        <v>15</v>
      </c>
      <c r="O29" s="3" t="s">
        <v>38</v>
      </c>
      <c r="P29" s="3" t="s">
        <v>40</v>
      </c>
      <c r="Q29" s="15" t="s">
        <v>143</v>
      </c>
      <c r="R29" s="2"/>
      <c r="S29" s="2"/>
      <c r="T29" s="2"/>
    </row>
    <row r="30" spans="1:17" ht="15.75">
      <c r="A30" s="36" t="s">
        <v>198</v>
      </c>
      <c r="B30" s="36" t="s">
        <v>31</v>
      </c>
      <c r="C30" s="36"/>
      <c r="D30" s="67">
        <v>425</v>
      </c>
      <c r="E30" s="67">
        <v>446</v>
      </c>
      <c r="F30" s="36">
        <v>407</v>
      </c>
      <c r="G30" s="36">
        <v>433</v>
      </c>
      <c r="H30" s="67">
        <v>457</v>
      </c>
      <c r="I30" s="36"/>
      <c r="J30" s="36"/>
      <c r="K30" s="36"/>
      <c r="L30" s="67">
        <v>447</v>
      </c>
      <c r="M30" s="36">
        <f>SUM(C30:L30)</f>
        <v>2615</v>
      </c>
      <c r="N30" s="36">
        <v>6</v>
      </c>
      <c r="O30" s="36">
        <v>2</v>
      </c>
      <c r="P30" s="36">
        <v>20</v>
      </c>
      <c r="Q30" s="36">
        <v>2</v>
      </c>
    </row>
    <row r="31" spans="1:17" s="32" customFormat="1" ht="15.75">
      <c r="A31" s="26" t="s">
        <v>202</v>
      </c>
      <c r="B31" s="26" t="s">
        <v>29</v>
      </c>
      <c r="C31" s="26"/>
      <c r="D31" s="87">
        <v>441</v>
      </c>
      <c r="E31" s="87">
        <v>429</v>
      </c>
      <c r="F31" s="26"/>
      <c r="G31" s="87">
        <v>450</v>
      </c>
      <c r="H31" s="26">
        <v>405</v>
      </c>
      <c r="I31" s="26"/>
      <c r="J31" s="26"/>
      <c r="K31" s="26">
        <v>381</v>
      </c>
      <c r="L31" s="26">
        <v>421</v>
      </c>
      <c r="M31" s="26">
        <f>SUM(C31:L31)</f>
        <v>2527</v>
      </c>
      <c r="N31" s="26">
        <v>3</v>
      </c>
      <c r="O31" s="26">
        <v>5</v>
      </c>
      <c r="P31" s="26">
        <v>-43</v>
      </c>
      <c r="Q31" s="26">
        <v>0</v>
      </c>
    </row>
    <row r="32" spans="1:17" s="41" customFormat="1" ht="15.75">
      <c r="A32" s="36" t="s">
        <v>204</v>
      </c>
      <c r="B32" s="36" t="s">
        <v>25</v>
      </c>
      <c r="C32" s="36"/>
      <c r="D32" s="67">
        <v>405</v>
      </c>
      <c r="F32" s="67">
        <v>200</v>
      </c>
      <c r="G32" s="36"/>
      <c r="H32" s="67">
        <v>428</v>
      </c>
      <c r="I32" s="36">
        <v>366</v>
      </c>
      <c r="J32" s="67">
        <v>413</v>
      </c>
      <c r="K32" s="67">
        <v>207</v>
      </c>
      <c r="L32" s="67">
        <v>411</v>
      </c>
      <c r="M32" s="36">
        <f>SUM(C32:L32)</f>
        <v>2430</v>
      </c>
      <c r="N32" s="36">
        <v>7</v>
      </c>
      <c r="O32" s="36">
        <v>1</v>
      </c>
      <c r="P32" s="36">
        <v>207</v>
      </c>
      <c r="Q32" s="36">
        <v>2</v>
      </c>
    </row>
    <row r="33" spans="1:17" s="32" customFormat="1" ht="15.75">
      <c r="A33" s="26" t="s">
        <v>205</v>
      </c>
      <c r="B33" s="26" t="s">
        <v>33</v>
      </c>
      <c r="C33" s="26"/>
      <c r="D33" s="26"/>
      <c r="E33" s="87">
        <v>434</v>
      </c>
      <c r="F33" s="26">
        <v>390</v>
      </c>
      <c r="G33" s="87">
        <v>436</v>
      </c>
      <c r="H33" s="26">
        <v>411</v>
      </c>
      <c r="I33" s="26"/>
      <c r="J33" s="26">
        <v>371</v>
      </c>
      <c r="K33" s="87">
        <v>424</v>
      </c>
      <c r="L33" s="26"/>
      <c r="M33" s="26">
        <f>SUM(C33:L33)</f>
        <v>2466</v>
      </c>
      <c r="N33" s="26">
        <v>5</v>
      </c>
      <c r="O33" s="26">
        <v>3</v>
      </c>
      <c r="P33" s="26">
        <v>4</v>
      </c>
      <c r="Q33" s="26">
        <v>2</v>
      </c>
    </row>
    <row r="34" spans="1:17" s="41" customFormat="1" ht="15.75">
      <c r="A34" s="36" t="s">
        <v>207</v>
      </c>
      <c r="B34" s="36" t="s">
        <v>21</v>
      </c>
      <c r="C34" s="36"/>
      <c r="D34" s="67">
        <v>416</v>
      </c>
      <c r="E34" s="36"/>
      <c r="F34" s="36">
        <v>413</v>
      </c>
      <c r="G34" s="67">
        <v>435</v>
      </c>
      <c r="H34" s="36">
        <v>405</v>
      </c>
      <c r="I34" s="36"/>
      <c r="J34" s="36"/>
      <c r="K34" s="36">
        <v>399</v>
      </c>
      <c r="L34" s="67">
        <v>426</v>
      </c>
      <c r="M34" s="36">
        <f>SUM(C34:L34)</f>
        <v>2494</v>
      </c>
      <c r="N34" s="36">
        <v>3</v>
      </c>
      <c r="O34" s="36">
        <v>5</v>
      </c>
      <c r="P34" s="36">
        <v>-11</v>
      </c>
      <c r="Q34" s="36">
        <v>0</v>
      </c>
    </row>
    <row r="35" spans="1:17" s="32" customFormat="1" ht="15.75">
      <c r="A35" s="26" t="s">
        <v>208</v>
      </c>
      <c r="B35" s="26" t="s">
        <v>19</v>
      </c>
      <c r="C35" s="26"/>
      <c r="D35" s="87">
        <v>421</v>
      </c>
      <c r="E35" s="87">
        <v>433</v>
      </c>
      <c r="F35" s="26">
        <v>405</v>
      </c>
      <c r="G35" s="87">
        <v>452</v>
      </c>
      <c r="H35" s="26"/>
      <c r="I35" s="26"/>
      <c r="J35" s="26">
        <v>405</v>
      </c>
      <c r="K35" s="87">
        <v>417</v>
      </c>
      <c r="L35" s="26"/>
      <c r="M35" s="26">
        <f aca="true" t="shared" si="2" ref="M35:M44">SUM(C35:L35)</f>
        <v>2533</v>
      </c>
      <c r="N35" s="26">
        <v>6</v>
      </c>
      <c r="O35" s="26">
        <v>2</v>
      </c>
      <c r="P35" s="26">
        <v>174</v>
      </c>
      <c r="Q35" s="26">
        <v>2</v>
      </c>
    </row>
    <row r="36" spans="1:17" s="104" customFormat="1" ht="15.75">
      <c r="A36" s="103" t="s">
        <v>209</v>
      </c>
      <c r="B36" s="103" t="s">
        <v>24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>
        <f t="shared" si="2"/>
        <v>0</v>
      </c>
      <c r="N36" s="103"/>
      <c r="O36" s="103"/>
      <c r="P36" s="103"/>
      <c r="Q36" s="103"/>
    </row>
    <row r="37" spans="1:17" s="32" customFormat="1" ht="15.75">
      <c r="A37" s="26" t="s">
        <v>210</v>
      </c>
      <c r="B37" s="26" t="s">
        <v>17</v>
      </c>
      <c r="C37" s="26"/>
      <c r="D37" s="26">
        <v>410</v>
      </c>
      <c r="E37" s="26">
        <v>410</v>
      </c>
      <c r="F37" s="26"/>
      <c r="G37" s="87">
        <v>462</v>
      </c>
      <c r="H37" s="26">
        <v>408</v>
      </c>
      <c r="I37" s="26"/>
      <c r="J37" s="26"/>
      <c r="K37" s="87">
        <v>417</v>
      </c>
      <c r="L37" s="87">
        <v>470</v>
      </c>
      <c r="M37" s="26">
        <f t="shared" si="2"/>
        <v>2577</v>
      </c>
      <c r="N37" s="26">
        <v>5</v>
      </c>
      <c r="O37" s="26">
        <v>3</v>
      </c>
      <c r="P37" s="26">
        <v>117</v>
      </c>
      <c r="Q37" s="26">
        <v>2</v>
      </c>
    </row>
    <row r="38" spans="1:17" s="32" customFormat="1" ht="15.75">
      <c r="A38" s="26" t="s">
        <v>211</v>
      </c>
      <c r="B38" s="26" t="s">
        <v>23</v>
      </c>
      <c r="C38" s="26"/>
      <c r="D38" s="26">
        <v>208</v>
      </c>
      <c r="E38" s="87">
        <v>456</v>
      </c>
      <c r="F38" s="87">
        <v>452</v>
      </c>
      <c r="G38" s="26">
        <v>194</v>
      </c>
      <c r="H38" s="26">
        <v>391</v>
      </c>
      <c r="I38" s="26"/>
      <c r="J38" s="26"/>
      <c r="K38" s="26">
        <v>386</v>
      </c>
      <c r="L38" s="87">
        <v>444</v>
      </c>
      <c r="M38" s="26">
        <f t="shared" si="2"/>
        <v>2531</v>
      </c>
      <c r="N38" s="26">
        <v>5</v>
      </c>
      <c r="O38" s="26">
        <v>3</v>
      </c>
      <c r="P38" s="26">
        <f>M38-2455</f>
        <v>76</v>
      </c>
      <c r="Q38" s="26">
        <v>2</v>
      </c>
    </row>
    <row r="39" spans="1:17" s="41" customFormat="1" ht="15.75">
      <c r="A39" s="36" t="s">
        <v>212</v>
      </c>
      <c r="B39" s="36" t="s">
        <v>16</v>
      </c>
      <c r="C39" s="36"/>
      <c r="D39" s="36">
        <v>415</v>
      </c>
      <c r="E39" s="67">
        <v>427</v>
      </c>
      <c r="F39" s="67">
        <v>479</v>
      </c>
      <c r="G39" s="36">
        <v>414</v>
      </c>
      <c r="H39" s="36">
        <v>421</v>
      </c>
      <c r="I39" s="36"/>
      <c r="J39" s="36"/>
      <c r="K39" s="36"/>
      <c r="L39" s="67">
        <v>442</v>
      </c>
      <c r="M39" s="36">
        <f t="shared" si="2"/>
        <v>2598</v>
      </c>
      <c r="N39" s="36">
        <v>5</v>
      </c>
      <c r="O39" s="36">
        <v>3</v>
      </c>
      <c r="P39" s="36">
        <v>10</v>
      </c>
      <c r="Q39" s="36">
        <v>2</v>
      </c>
    </row>
    <row r="40" spans="1:17" s="32" customFormat="1" ht="15.75">
      <c r="A40" s="26" t="s">
        <v>213</v>
      </c>
      <c r="B40" s="26" t="s">
        <v>28</v>
      </c>
      <c r="C40" s="26"/>
      <c r="D40" s="26">
        <v>425</v>
      </c>
      <c r="E40" s="87">
        <v>449</v>
      </c>
      <c r="F40" s="26">
        <v>411</v>
      </c>
      <c r="G40" s="87">
        <v>474</v>
      </c>
      <c r="H40" s="87">
        <v>447</v>
      </c>
      <c r="I40" s="26"/>
      <c r="J40" s="26"/>
      <c r="K40" s="26"/>
      <c r="L40" s="87">
        <v>475</v>
      </c>
      <c r="M40" s="26">
        <f t="shared" si="2"/>
        <v>2681</v>
      </c>
      <c r="N40" s="26">
        <v>6</v>
      </c>
      <c r="O40" s="26">
        <v>2</v>
      </c>
      <c r="P40" s="26">
        <v>110</v>
      </c>
      <c r="Q40" s="26">
        <v>2</v>
      </c>
    </row>
    <row r="41" spans="1:17" s="41" customFormat="1" ht="15.75">
      <c r="A41" s="36" t="s">
        <v>214</v>
      </c>
      <c r="B41" s="36" t="s">
        <v>20</v>
      </c>
      <c r="C41" s="36"/>
      <c r="D41" s="67">
        <v>432</v>
      </c>
      <c r="E41" s="67">
        <v>451</v>
      </c>
      <c r="F41" s="67">
        <v>438</v>
      </c>
      <c r="G41" s="36">
        <v>394</v>
      </c>
      <c r="H41" s="36">
        <v>427</v>
      </c>
      <c r="I41" s="36"/>
      <c r="J41" s="36"/>
      <c r="K41" s="36"/>
      <c r="L41" s="67">
        <v>491</v>
      </c>
      <c r="M41" s="36">
        <f t="shared" si="2"/>
        <v>2633</v>
      </c>
      <c r="N41" s="36">
        <v>6</v>
      </c>
      <c r="O41" s="36">
        <v>2</v>
      </c>
      <c r="P41" s="36">
        <v>133</v>
      </c>
      <c r="Q41" s="36">
        <v>2</v>
      </c>
    </row>
    <row r="42" spans="1:17" s="32" customFormat="1" ht="15.75">
      <c r="A42" s="26" t="s">
        <v>215</v>
      </c>
      <c r="B42" s="26" t="s">
        <v>27</v>
      </c>
      <c r="C42" s="26"/>
      <c r="D42" s="26">
        <v>446</v>
      </c>
      <c r="E42" s="26">
        <v>397</v>
      </c>
      <c r="F42" s="26">
        <v>414</v>
      </c>
      <c r="G42" s="26">
        <v>401</v>
      </c>
      <c r="H42" s="26">
        <v>416</v>
      </c>
      <c r="I42" s="26"/>
      <c r="J42" s="26"/>
      <c r="K42" s="26"/>
      <c r="L42" s="26">
        <v>428</v>
      </c>
      <c r="M42" s="26">
        <f t="shared" si="2"/>
        <v>2502</v>
      </c>
      <c r="N42" s="26">
        <v>2</v>
      </c>
      <c r="O42" s="26">
        <v>6</v>
      </c>
      <c r="P42" s="26">
        <v>-86</v>
      </c>
      <c r="Q42" s="26">
        <v>0</v>
      </c>
    </row>
    <row r="43" spans="1:17" s="41" customFormat="1" ht="15.75">
      <c r="A43" s="36" t="s">
        <v>216</v>
      </c>
      <c r="B43" s="36" t="s">
        <v>26</v>
      </c>
      <c r="C43" s="36"/>
      <c r="D43" s="67">
        <v>443</v>
      </c>
      <c r="E43" s="36"/>
      <c r="F43" s="67">
        <v>432</v>
      </c>
      <c r="G43" s="36"/>
      <c r="H43" s="36">
        <v>426</v>
      </c>
      <c r="I43" s="36"/>
      <c r="J43" s="36">
        <v>373</v>
      </c>
      <c r="K43" s="36">
        <v>395</v>
      </c>
      <c r="L43" s="67">
        <v>437</v>
      </c>
      <c r="M43" s="36">
        <f t="shared" si="2"/>
        <v>2506</v>
      </c>
      <c r="N43" s="36">
        <v>3</v>
      </c>
      <c r="O43" s="36">
        <v>5</v>
      </c>
      <c r="P43" s="36">
        <v>-147</v>
      </c>
      <c r="Q43" s="36">
        <v>0</v>
      </c>
    </row>
    <row r="44" spans="1:17" s="32" customFormat="1" ht="16.5" thickBot="1">
      <c r="A44" s="26" t="s">
        <v>217</v>
      </c>
      <c r="B44" s="26" t="s">
        <v>18</v>
      </c>
      <c r="C44" s="26">
        <v>303</v>
      </c>
      <c r="D44" s="26">
        <v>383</v>
      </c>
      <c r="E44" s="26"/>
      <c r="F44" s="26"/>
      <c r="G44" s="26"/>
      <c r="H44" s="87">
        <v>481</v>
      </c>
      <c r="I44" s="26"/>
      <c r="J44" s="26">
        <v>372</v>
      </c>
      <c r="K44" s="87">
        <v>402</v>
      </c>
      <c r="L44" s="87">
        <v>427</v>
      </c>
      <c r="M44" s="26">
        <f t="shared" si="2"/>
        <v>2368</v>
      </c>
      <c r="N44" s="35">
        <v>3</v>
      </c>
      <c r="O44" s="35">
        <v>5</v>
      </c>
      <c r="P44" s="35">
        <v>-79</v>
      </c>
      <c r="Q44" s="35">
        <v>0</v>
      </c>
    </row>
    <row r="45" spans="14:17" ht="16.5" thickTop="1">
      <c r="N45" s="1">
        <f>SUM(N30:N44)</f>
        <v>65</v>
      </c>
      <c r="O45" s="1">
        <f>SUM(O30:O44)</f>
        <v>47</v>
      </c>
      <c r="P45" s="1">
        <f>SUM(P30:P44)</f>
        <v>485</v>
      </c>
      <c r="Q45" s="1">
        <f>SUM(Q30:Q44)</f>
        <v>18</v>
      </c>
    </row>
  </sheetData>
  <mergeCells count="9">
    <mergeCell ref="N1:O1"/>
    <mergeCell ref="C22:D22"/>
    <mergeCell ref="N19:O19"/>
    <mergeCell ref="I24:J24"/>
    <mergeCell ref="L24:M24"/>
    <mergeCell ref="L25:M25"/>
    <mergeCell ref="C23:D23"/>
    <mergeCell ref="C24:D24"/>
    <mergeCell ref="C1:L1"/>
  </mergeCells>
  <printOptions/>
  <pageMargins left="0.75" right="0.75" top="1" bottom="1" header="0.5" footer="0.5"/>
  <pageSetup orientation="portrait" paperSize="9"/>
  <ignoredErrors>
    <ignoredError sqref="D19 F19 J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zoomScale="89" zoomScaleNormal="89" workbookViewId="0" topLeftCell="A28">
      <selection activeCell="I44" activeCellId="3" sqref="D44 F44 G44 I44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7" width="9.125" style="1" customWidth="1"/>
    <col min="8" max="8" width="9.75390625" style="1" customWidth="1"/>
    <col min="9" max="11" width="9.125" style="1" customWidth="1"/>
    <col min="12" max="12" width="14.87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2.375" style="1" customWidth="1"/>
    <col min="18" max="18" width="15.75390625" style="0" bestFit="1" customWidth="1"/>
  </cols>
  <sheetData>
    <row r="1" spans="3:19" ht="15.75">
      <c r="C1" s="118" t="s">
        <v>32</v>
      </c>
      <c r="D1" s="118"/>
      <c r="E1" s="118"/>
      <c r="F1" s="118"/>
      <c r="G1" s="118"/>
      <c r="H1" s="118"/>
      <c r="I1" s="118"/>
      <c r="J1" s="118"/>
      <c r="K1" s="3"/>
      <c r="M1" s="118" t="s">
        <v>37</v>
      </c>
      <c r="N1" s="118"/>
      <c r="Q1" s="2"/>
      <c r="R1" s="2"/>
      <c r="S1" s="2"/>
    </row>
    <row r="2" spans="2:16" ht="32.25" thickBot="1">
      <c r="B2" s="3" t="s">
        <v>30</v>
      </c>
      <c r="C2" s="13" t="s">
        <v>128</v>
      </c>
      <c r="D2" s="13" t="s">
        <v>129</v>
      </c>
      <c r="E2" s="13" t="s">
        <v>130</v>
      </c>
      <c r="F2" s="13" t="s">
        <v>132</v>
      </c>
      <c r="G2" s="13" t="s">
        <v>133</v>
      </c>
      <c r="H2" s="13" t="s">
        <v>134</v>
      </c>
      <c r="I2" s="13" t="s">
        <v>135</v>
      </c>
      <c r="J2" s="13" t="s">
        <v>175</v>
      </c>
      <c r="K2" s="13"/>
      <c r="L2" s="3" t="s">
        <v>39</v>
      </c>
      <c r="M2" s="3" t="s">
        <v>16</v>
      </c>
      <c r="N2" s="3" t="s">
        <v>38</v>
      </c>
      <c r="O2" s="3" t="s">
        <v>40</v>
      </c>
      <c r="P2" s="15" t="s">
        <v>143</v>
      </c>
    </row>
    <row r="3" spans="1:16" s="57" customFormat="1" ht="15.75">
      <c r="A3" s="1" t="s">
        <v>0</v>
      </c>
      <c r="B3" s="1" t="s">
        <v>24</v>
      </c>
      <c r="C3" s="80"/>
      <c r="D3" s="80"/>
      <c r="E3" s="80"/>
      <c r="F3" s="80"/>
      <c r="G3" s="80"/>
      <c r="H3" s="80"/>
      <c r="I3" s="80"/>
      <c r="J3" s="80"/>
      <c r="K3" s="18"/>
      <c r="L3" s="7">
        <f>SUM(C3:J3)</f>
        <v>0</v>
      </c>
      <c r="M3" s="1"/>
      <c r="N3" s="1"/>
      <c r="O3" s="1"/>
      <c r="P3" s="1"/>
    </row>
    <row r="4" spans="1:16" s="32" customFormat="1" ht="15.75">
      <c r="A4" s="26" t="s">
        <v>1</v>
      </c>
      <c r="B4" s="26" t="s">
        <v>19</v>
      </c>
      <c r="C4" s="58">
        <v>191</v>
      </c>
      <c r="D4" s="66">
        <v>444</v>
      </c>
      <c r="E4" s="66">
        <v>429</v>
      </c>
      <c r="F4" s="66">
        <v>446</v>
      </c>
      <c r="G4" s="66">
        <v>189</v>
      </c>
      <c r="H4" s="66">
        <v>420</v>
      </c>
      <c r="I4" s="58">
        <v>211</v>
      </c>
      <c r="J4" s="83">
        <v>221</v>
      </c>
      <c r="K4" s="49"/>
      <c r="L4" s="30">
        <f>SUM(C4:J4)</f>
        <v>2551</v>
      </c>
      <c r="M4" s="26">
        <v>7</v>
      </c>
      <c r="N4" s="26">
        <v>1</v>
      </c>
      <c r="O4" s="26">
        <v>203</v>
      </c>
      <c r="P4" s="26">
        <v>2</v>
      </c>
    </row>
    <row r="5" spans="1:16" s="41" customFormat="1" ht="15.75">
      <c r="A5" s="36" t="s">
        <v>2</v>
      </c>
      <c r="B5" s="36" t="s">
        <v>21</v>
      </c>
      <c r="C5" s="72">
        <v>425</v>
      </c>
      <c r="D5" s="72">
        <v>442</v>
      </c>
      <c r="E5" s="72">
        <v>421</v>
      </c>
      <c r="F5" s="72">
        <v>408</v>
      </c>
      <c r="G5" s="59">
        <v>386</v>
      </c>
      <c r="H5" s="59"/>
      <c r="I5" s="72">
        <v>440</v>
      </c>
      <c r="J5" s="68"/>
      <c r="K5" s="54"/>
      <c r="L5" s="39">
        <f aca="true" t="shared" si="0" ref="L5:L17">SUM(C5:J5)</f>
        <v>2522</v>
      </c>
      <c r="M5" s="36">
        <v>7</v>
      </c>
      <c r="N5" s="36">
        <v>1</v>
      </c>
      <c r="O5" s="36">
        <v>218</v>
      </c>
      <c r="P5" s="36">
        <v>2</v>
      </c>
    </row>
    <row r="6" spans="1:16" s="32" customFormat="1" ht="15.75">
      <c r="A6" s="26" t="s">
        <v>3</v>
      </c>
      <c r="B6" s="26" t="s">
        <v>33</v>
      </c>
      <c r="C6" s="62">
        <v>415</v>
      </c>
      <c r="D6" s="66">
        <v>431</v>
      </c>
      <c r="E6" s="62"/>
      <c r="F6" s="58">
        <v>422</v>
      </c>
      <c r="G6" s="66">
        <v>425</v>
      </c>
      <c r="H6" s="58"/>
      <c r="I6" s="66">
        <v>460</v>
      </c>
      <c r="J6" s="61">
        <v>417</v>
      </c>
      <c r="K6" s="49"/>
      <c r="L6" s="30">
        <f t="shared" si="0"/>
        <v>2570</v>
      </c>
      <c r="M6" s="26">
        <v>5</v>
      </c>
      <c r="N6" s="26">
        <v>3</v>
      </c>
      <c r="O6" s="26">
        <v>87</v>
      </c>
      <c r="P6" s="26">
        <v>2</v>
      </c>
    </row>
    <row r="7" spans="1:16" s="41" customFormat="1" ht="15.75">
      <c r="A7" s="36" t="s">
        <v>4</v>
      </c>
      <c r="B7" s="36" t="s">
        <v>25</v>
      </c>
      <c r="C7" s="64">
        <v>398</v>
      </c>
      <c r="D7" s="72">
        <v>433</v>
      </c>
      <c r="E7" s="72">
        <v>400</v>
      </c>
      <c r="F7" s="59"/>
      <c r="G7" s="72">
        <v>411</v>
      </c>
      <c r="H7" s="72">
        <v>439</v>
      </c>
      <c r="I7" s="59"/>
      <c r="J7" s="81">
        <v>448</v>
      </c>
      <c r="K7" s="54"/>
      <c r="L7" s="39">
        <f t="shared" si="0"/>
        <v>2529</v>
      </c>
      <c r="M7" s="36">
        <v>7</v>
      </c>
      <c r="N7" s="36">
        <v>1</v>
      </c>
      <c r="O7" s="36">
        <v>229</v>
      </c>
      <c r="P7" s="36">
        <v>2</v>
      </c>
    </row>
    <row r="8" spans="1:16" s="32" customFormat="1" ht="15.75">
      <c r="A8" s="26" t="s">
        <v>5</v>
      </c>
      <c r="B8" s="26" t="s">
        <v>29</v>
      </c>
      <c r="C8" s="58">
        <v>436</v>
      </c>
      <c r="D8" s="62">
        <v>449</v>
      </c>
      <c r="E8" s="66">
        <v>460</v>
      </c>
      <c r="F8" s="66">
        <v>462</v>
      </c>
      <c r="G8" s="58"/>
      <c r="H8" s="58"/>
      <c r="I8" s="66">
        <v>492</v>
      </c>
      <c r="J8" s="61">
        <v>436</v>
      </c>
      <c r="K8" s="49"/>
      <c r="L8" s="30">
        <f t="shared" si="0"/>
        <v>2735</v>
      </c>
      <c r="M8" s="26">
        <v>5</v>
      </c>
      <c r="N8" s="26">
        <v>3</v>
      </c>
      <c r="O8" s="26">
        <v>43</v>
      </c>
      <c r="P8" s="26">
        <v>2</v>
      </c>
    </row>
    <row r="9" spans="1:16" s="41" customFormat="1" ht="15.75">
      <c r="A9" s="36" t="s">
        <v>6</v>
      </c>
      <c r="B9" s="36" t="s">
        <v>31</v>
      </c>
      <c r="C9" s="64">
        <v>391</v>
      </c>
      <c r="D9" s="72">
        <v>465</v>
      </c>
      <c r="E9" s="64">
        <v>434</v>
      </c>
      <c r="F9" s="72">
        <v>452</v>
      </c>
      <c r="G9" s="59"/>
      <c r="H9" s="72">
        <v>446</v>
      </c>
      <c r="I9" s="72">
        <v>459</v>
      </c>
      <c r="J9" s="68"/>
      <c r="K9" s="54"/>
      <c r="L9" s="39">
        <f t="shared" si="0"/>
        <v>2647</v>
      </c>
      <c r="M9" s="36">
        <v>4</v>
      </c>
      <c r="N9" s="36">
        <v>4</v>
      </c>
      <c r="O9" s="36">
        <v>-20</v>
      </c>
      <c r="P9" s="36">
        <v>1</v>
      </c>
    </row>
    <row r="10" spans="1:16" s="32" customFormat="1" ht="15.75">
      <c r="A10" s="26" t="s">
        <v>7</v>
      </c>
      <c r="B10" s="26" t="s">
        <v>18</v>
      </c>
      <c r="C10" s="58">
        <v>398</v>
      </c>
      <c r="D10" s="66">
        <v>450</v>
      </c>
      <c r="E10" s="62"/>
      <c r="F10" s="66">
        <v>456</v>
      </c>
      <c r="G10" s="58"/>
      <c r="H10" s="66">
        <v>442</v>
      </c>
      <c r="I10" s="66">
        <v>446</v>
      </c>
      <c r="J10" s="83">
        <v>469</v>
      </c>
      <c r="K10" s="49"/>
      <c r="L10" s="30">
        <f t="shared" si="0"/>
        <v>2661</v>
      </c>
      <c r="M10" s="26">
        <v>7</v>
      </c>
      <c r="N10" s="26">
        <v>1</v>
      </c>
      <c r="O10" s="26">
        <v>83</v>
      </c>
      <c r="P10" s="26">
        <v>2</v>
      </c>
    </row>
    <row r="11" spans="1:16" s="41" customFormat="1" ht="15.75">
      <c r="A11" s="36" t="s">
        <v>8</v>
      </c>
      <c r="B11" s="36" t="s">
        <v>26</v>
      </c>
      <c r="C11" s="64"/>
      <c r="D11" s="72">
        <v>452</v>
      </c>
      <c r="E11" s="64">
        <v>399</v>
      </c>
      <c r="F11" s="72">
        <v>427</v>
      </c>
      <c r="G11" s="59"/>
      <c r="H11" s="59">
        <v>417</v>
      </c>
      <c r="I11" s="72">
        <v>448</v>
      </c>
      <c r="J11" s="81">
        <v>429</v>
      </c>
      <c r="K11" s="54"/>
      <c r="L11" s="39">
        <f t="shared" si="0"/>
        <v>2572</v>
      </c>
      <c r="M11" s="36">
        <v>6</v>
      </c>
      <c r="N11" s="36">
        <v>2</v>
      </c>
      <c r="O11" s="36">
        <v>39</v>
      </c>
      <c r="P11" s="36">
        <v>2</v>
      </c>
    </row>
    <row r="12" spans="1:16" s="32" customFormat="1" ht="15.75">
      <c r="A12" s="26" t="s">
        <v>9</v>
      </c>
      <c r="B12" s="26" t="s">
        <v>27</v>
      </c>
      <c r="C12" s="58">
        <v>414</v>
      </c>
      <c r="D12" s="66">
        <v>446</v>
      </c>
      <c r="E12" s="62">
        <v>180</v>
      </c>
      <c r="F12" s="58">
        <v>423</v>
      </c>
      <c r="G12" s="58">
        <v>186</v>
      </c>
      <c r="H12" s="58"/>
      <c r="I12" s="66">
        <v>434</v>
      </c>
      <c r="J12" s="83">
        <v>487</v>
      </c>
      <c r="K12" s="49"/>
      <c r="L12" s="30">
        <f t="shared" si="0"/>
        <v>2570</v>
      </c>
      <c r="M12" s="26">
        <v>3</v>
      </c>
      <c r="N12" s="26">
        <v>5</v>
      </c>
      <c r="O12" s="26">
        <v>-91</v>
      </c>
      <c r="P12" s="26">
        <v>0</v>
      </c>
    </row>
    <row r="13" spans="1:16" s="41" customFormat="1" ht="15.75">
      <c r="A13" s="36" t="s">
        <v>10</v>
      </c>
      <c r="B13" s="36" t="s">
        <v>34</v>
      </c>
      <c r="C13" s="64">
        <v>401</v>
      </c>
      <c r="D13" s="72">
        <v>427</v>
      </c>
      <c r="E13" s="64"/>
      <c r="F13" s="59">
        <v>410</v>
      </c>
      <c r="G13" s="59">
        <v>369</v>
      </c>
      <c r="H13" s="59"/>
      <c r="I13" s="72">
        <v>457</v>
      </c>
      <c r="J13" s="81">
        <v>461</v>
      </c>
      <c r="K13" s="54"/>
      <c r="L13" s="39">
        <f t="shared" si="0"/>
        <v>2525</v>
      </c>
      <c r="M13" s="36">
        <v>5</v>
      </c>
      <c r="N13" s="36">
        <v>3</v>
      </c>
      <c r="O13" s="39">
        <f>L13-2488</f>
        <v>37</v>
      </c>
      <c r="P13" s="36">
        <v>2</v>
      </c>
    </row>
    <row r="14" spans="1:16" s="32" customFormat="1" ht="15.75">
      <c r="A14" s="26" t="s">
        <v>11</v>
      </c>
      <c r="B14" s="26" t="s">
        <v>28</v>
      </c>
      <c r="C14" s="58"/>
      <c r="D14" s="66">
        <v>475</v>
      </c>
      <c r="E14" s="62">
        <v>431</v>
      </c>
      <c r="F14" s="66">
        <v>450</v>
      </c>
      <c r="G14" s="58"/>
      <c r="H14" s="66">
        <v>439</v>
      </c>
      <c r="I14" s="66">
        <v>461</v>
      </c>
      <c r="J14" s="83">
        <v>438</v>
      </c>
      <c r="K14" s="49"/>
      <c r="L14" s="30">
        <f t="shared" si="0"/>
        <v>2694</v>
      </c>
      <c r="M14" s="26">
        <v>7</v>
      </c>
      <c r="N14" s="26">
        <v>1</v>
      </c>
      <c r="O14" s="26">
        <v>221</v>
      </c>
      <c r="P14" s="26">
        <v>2</v>
      </c>
    </row>
    <row r="15" spans="1:16" s="41" customFormat="1" ht="15.75">
      <c r="A15" s="36" t="s">
        <v>12</v>
      </c>
      <c r="B15" s="36" t="s">
        <v>23</v>
      </c>
      <c r="C15" s="72">
        <v>410</v>
      </c>
      <c r="D15" s="72">
        <v>416</v>
      </c>
      <c r="E15" s="64">
        <v>407</v>
      </c>
      <c r="F15" s="72">
        <v>436</v>
      </c>
      <c r="G15" s="59"/>
      <c r="H15" s="59"/>
      <c r="I15" s="72">
        <v>437</v>
      </c>
      <c r="J15" s="81">
        <v>426</v>
      </c>
      <c r="K15" s="54"/>
      <c r="L15" s="39">
        <f t="shared" si="0"/>
        <v>2532</v>
      </c>
      <c r="M15" s="36">
        <v>7</v>
      </c>
      <c r="N15" s="36">
        <v>1</v>
      </c>
      <c r="O15" s="39">
        <f>L15-2404</f>
        <v>128</v>
      </c>
      <c r="P15" s="36">
        <v>2</v>
      </c>
    </row>
    <row r="16" spans="1:16" s="41" customFormat="1" ht="15.75">
      <c r="A16" s="36" t="s">
        <v>13</v>
      </c>
      <c r="B16" s="36" t="s">
        <v>15</v>
      </c>
      <c r="C16" s="64"/>
      <c r="D16" s="72">
        <v>464</v>
      </c>
      <c r="E16" s="64">
        <v>406</v>
      </c>
      <c r="F16" s="72">
        <v>421</v>
      </c>
      <c r="G16" s="59"/>
      <c r="H16" s="59">
        <v>413</v>
      </c>
      <c r="I16" s="72">
        <v>443</v>
      </c>
      <c r="J16" s="81">
        <v>428</v>
      </c>
      <c r="K16" s="54"/>
      <c r="L16" s="39">
        <f t="shared" si="0"/>
        <v>2575</v>
      </c>
      <c r="M16" s="36">
        <v>6</v>
      </c>
      <c r="N16" s="36">
        <v>2</v>
      </c>
      <c r="O16" s="39">
        <f>L16-2489</f>
        <v>86</v>
      </c>
      <c r="P16" s="36">
        <v>2</v>
      </c>
    </row>
    <row r="17" spans="1:16" s="32" customFormat="1" ht="16.5" thickBot="1">
      <c r="A17" s="26" t="s">
        <v>14</v>
      </c>
      <c r="B17" s="26" t="s">
        <v>17</v>
      </c>
      <c r="C17" s="69">
        <v>413</v>
      </c>
      <c r="D17" s="101">
        <v>461</v>
      </c>
      <c r="E17" s="69">
        <v>413</v>
      </c>
      <c r="F17" s="101">
        <v>447</v>
      </c>
      <c r="G17" s="101">
        <v>435</v>
      </c>
      <c r="H17" s="69">
        <v>414</v>
      </c>
      <c r="I17" s="69"/>
      <c r="J17" s="69"/>
      <c r="K17" s="70"/>
      <c r="L17" s="34">
        <f t="shared" si="0"/>
        <v>2583</v>
      </c>
      <c r="M17" s="35">
        <v>5</v>
      </c>
      <c r="N17" s="35">
        <v>3</v>
      </c>
      <c r="O17" s="35">
        <v>103</v>
      </c>
      <c r="P17" s="35">
        <v>2</v>
      </c>
    </row>
    <row r="18" spans="3:11" ht="16.5" thickTop="1">
      <c r="C18" s="7">
        <f>SUM(C3:C17)</f>
        <v>4292</v>
      </c>
      <c r="D18" s="7">
        <f aca="true" t="shared" si="1" ref="D18:J18">SUM(D3:D17)</f>
        <v>6255</v>
      </c>
      <c r="E18" s="7">
        <f t="shared" si="1"/>
        <v>4380</v>
      </c>
      <c r="F18" s="7">
        <f t="shared" si="1"/>
        <v>5660</v>
      </c>
      <c r="G18" s="7">
        <f t="shared" si="1"/>
        <v>2401</v>
      </c>
      <c r="H18" s="7">
        <f t="shared" si="1"/>
        <v>3430</v>
      </c>
      <c r="I18" s="7">
        <f t="shared" si="1"/>
        <v>5188</v>
      </c>
      <c r="J18" s="7">
        <f t="shared" si="1"/>
        <v>4660</v>
      </c>
      <c r="K18" s="7"/>
    </row>
    <row r="19" spans="2:18" ht="33" customHeight="1">
      <c r="B19" s="16" t="s">
        <v>163</v>
      </c>
      <c r="C19" s="22">
        <f>C18/10.5</f>
        <v>408.76190476190476</v>
      </c>
      <c r="D19" s="22">
        <f>D18/14</f>
        <v>446.7857142857143</v>
      </c>
      <c r="E19" s="22">
        <f>E18/10.5</f>
        <v>417.14285714285717</v>
      </c>
      <c r="F19" s="22">
        <f>F18/13</f>
        <v>435.38461538461536</v>
      </c>
      <c r="G19" s="22">
        <f>G18/6</f>
        <v>400.1666666666667</v>
      </c>
      <c r="H19" s="22">
        <f>H18/8</f>
        <v>428.75</v>
      </c>
      <c r="I19" s="22">
        <f>I18/11.5</f>
        <v>451.1304347826087</v>
      </c>
      <c r="J19" s="22">
        <f>J18/10.5</f>
        <v>443.8095238095238</v>
      </c>
      <c r="K19" s="22"/>
      <c r="L19" s="3" t="s">
        <v>39</v>
      </c>
      <c r="M19" s="118" t="s">
        <v>144</v>
      </c>
      <c r="N19" s="118"/>
      <c r="O19" s="3" t="s">
        <v>40</v>
      </c>
      <c r="P19" s="15" t="s">
        <v>145</v>
      </c>
      <c r="R19" s="19" t="s">
        <v>159</v>
      </c>
    </row>
    <row r="20" spans="12:18" ht="15.75">
      <c r="L20" s="7">
        <f>SUM(L3:L17)</f>
        <v>36266</v>
      </c>
      <c r="M20" s="1">
        <f>SUM(M3:M17)</f>
        <v>81</v>
      </c>
      <c r="N20" s="1">
        <f>SUM(N3:N17)</f>
        <v>31</v>
      </c>
      <c r="O20" s="1">
        <f>SUM(O3:O17)</f>
        <v>1366</v>
      </c>
      <c r="P20" s="1">
        <f>SUM(P3:P17)</f>
        <v>25</v>
      </c>
      <c r="R20" s="2">
        <f>M20-N20</f>
        <v>50</v>
      </c>
    </row>
    <row r="21" spans="3:4" ht="15.75">
      <c r="C21" s="119" t="s">
        <v>52</v>
      </c>
      <c r="D21" s="119"/>
    </row>
    <row r="22" spans="3:13" ht="15.75">
      <c r="C22" s="116" t="s">
        <v>168</v>
      </c>
      <c r="D22" s="116"/>
      <c r="L22" s="1" t="s">
        <v>164</v>
      </c>
      <c r="M22" s="24">
        <f>L20/14</f>
        <v>2590.4285714285716</v>
      </c>
    </row>
    <row r="23" spans="3:4" ht="15.75">
      <c r="C23" s="117" t="s">
        <v>169</v>
      </c>
      <c r="D23" s="117"/>
    </row>
    <row r="24" spans="9:14" ht="15.75">
      <c r="I24" s="120" t="s">
        <v>199</v>
      </c>
      <c r="J24" s="120"/>
      <c r="K24" s="16"/>
      <c r="L24" s="16" t="s">
        <v>200</v>
      </c>
      <c r="M24" s="120" t="s">
        <v>159</v>
      </c>
      <c r="N24" s="120"/>
    </row>
    <row r="25" spans="1:14" ht="15.75">
      <c r="A25" s="92" t="s">
        <v>183</v>
      </c>
      <c r="B25" s="86"/>
      <c r="C25" s="73" t="s">
        <v>190</v>
      </c>
      <c r="D25" s="86" t="s">
        <v>181</v>
      </c>
      <c r="E25" s="93" t="s">
        <v>186</v>
      </c>
      <c r="I25" s="1">
        <f>M20+M45</f>
        <v>145</v>
      </c>
      <c r="J25" s="1">
        <f>N20+N45</f>
        <v>79</v>
      </c>
      <c r="L25" s="65">
        <f>P20+P45</f>
        <v>41</v>
      </c>
      <c r="M25" s="115">
        <f>I25-J25</f>
        <v>66</v>
      </c>
      <c r="N25" s="115"/>
    </row>
    <row r="26" ht="15.75">
      <c r="F26" s="86"/>
    </row>
    <row r="27" ht="15.75">
      <c r="F27" s="86"/>
    </row>
    <row r="29" spans="2:16" ht="32.25" thickBot="1">
      <c r="B29" s="3" t="s">
        <v>30</v>
      </c>
      <c r="C29" s="13" t="s">
        <v>128</v>
      </c>
      <c r="D29" s="13" t="s">
        <v>129</v>
      </c>
      <c r="E29" s="13" t="s">
        <v>130</v>
      </c>
      <c r="F29" s="13" t="s">
        <v>132</v>
      </c>
      <c r="G29" s="13" t="s">
        <v>133</v>
      </c>
      <c r="H29" s="13" t="s">
        <v>134</v>
      </c>
      <c r="I29" s="13" t="s">
        <v>135</v>
      </c>
      <c r="J29" s="13" t="s">
        <v>175</v>
      </c>
      <c r="K29" s="105" t="s">
        <v>206</v>
      </c>
      <c r="L29" s="3" t="s">
        <v>39</v>
      </c>
      <c r="M29" s="3" t="s">
        <v>16</v>
      </c>
      <c r="N29" s="3" t="s">
        <v>38</v>
      </c>
      <c r="O29" s="3" t="s">
        <v>40</v>
      </c>
      <c r="P29" s="15" t="s">
        <v>143</v>
      </c>
    </row>
    <row r="30" spans="1:16" s="41" customFormat="1" ht="15.75">
      <c r="A30" s="36" t="s">
        <v>198</v>
      </c>
      <c r="B30" s="36" t="s">
        <v>201</v>
      </c>
      <c r="C30" s="36"/>
      <c r="D30" s="67">
        <v>460</v>
      </c>
      <c r="E30" s="67">
        <v>445</v>
      </c>
      <c r="F30" s="36">
        <v>415</v>
      </c>
      <c r="G30" s="36">
        <v>390</v>
      </c>
      <c r="H30" s="36"/>
      <c r="I30" s="36">
        <v>418</v>
      </c>
      <c r="J30" s="67">
        <v>422</v>
      </c>
      <c r="K30" s="42"/>
      <c r="L30" s="36">
        <f>SUM(C30:J30)</f>
        <v>2550</v>
      </c>
      <c r="M30" s="36">
        <v>5</v>
      </c>
      <c r="N30" s="36">
        <v>3</v>
      </c>
      <c r="O30" s="36">
        <v>15</v>
      </c>
      <c r="P30" s="36">
        <v>2</v>
      </c>
    </row>
    <row r="31" spans="1:16" s="32" customFormat="1" ht="15.75">
      <c r="A31" s="26" t="s">
        <v>202</v>
      </c>
      <c r="B31" s="26" t="s">
        <v>31</v>
      </c>
      <c r="C31" s="26">
        <v>423</v>
      </c>
      <c r="D31" s="87">
        <v>455</v>
      </c>
      <c r="E31" s="26">
        <v>414</v>
      </c>
      <c r="F31" s="87">
        <v>440</v>
      </c>
      <c r="G31" s="26">
        <v>373</v>
      </c>
      <c r="H31" s="26"/>
      <c r="I31" s="26"/>
      <c r="J31" s="87">
        <v>428</v>
      </c>
      <c r="K31" s="45"/>
      <c r="L31" s="26">
        <f>SUM(C31:J31)</f>
        <v>2533</v>
      </c>
      <c r="M31" s="26">
        <v>3</v>
      </c>
      <c r="N31" s="26">
        <v>5</v>
      </c>
      <c r="O31" s="26">
        <v>-38</v>
      </c>
      <c r="P31" s="26">
        <v>0</v>
      </c>
    </row>
    <row r="32" spans="1:16" s="41" customFormat="1" ht="15.75">
      <c r="A32" s="36" t="s">
        <v>204</v>
      </c>
      <c r="B32" s="36" t="s">
        <v>29</v>
      </c>
      <c r="C32" s="36">
        <v>412</v>
      </c>
      <c r="D32" s="67">
        <v>467</v>
      </c>
      <c r="E32" s="67">
        <v>432</v>
      </c>
      <c r="F32" s="67">
        <v>447</v>
      </c>
      <c r="G32" s="36"/>
      <c r="H32" s="36"/>
      <c r="I32" s="67">
        <v>425</v>
      </c>
      <c r="J32" s="36">
        <v>412</v>
      </c>
      <c r="K32" s="36"/>
      <c r="L32" s="36">
        <f>SUM(C32:J32)</f>
        <v>2595</v>
      </c>
      <c r="M32" s="36">
        <v>6</v>
      </c>
      <c r="N32" s="36">
        <v>2</v>
      </c>
      <c r="O32" s="36">
        <f>L32-2541</f>
        <v>54</v>
      </c>
      <c r="P32" s="36">
        <v>2</v>
      </c>
    </row>
    <row r="33" spans="1:16" s="32" customFormat="1" ht="15.75">
      <c r="A33" s="26" t="s">
        <v>205</v>
      </c>
      <c r="B33" s="26" t="s">
        <v>25</v>
      </c>
      <c r="C33" s="87">
        <v>428</v>
      </c>
      <c r="D33" s="87">
        <v>439</v>
      </c>
      <c r="E33" s="87">
        <v>450</v>
      </c>
      <c r="F33" s="87">
        <v>434</v>
      </c>
      <c r="G33" s="26"/>
      <c r="H33" s="87">
        <v>226</v>
      </c>
      <c r="J33" s="26">
        <v>395</v>
      </c>
      <c r="K33" s="87">
        <v>178</v>
      </c>
      <c r="L33" s="26">
        <f>SUM(C33:K33)</f>
        <v>2550</v>
      </c>
      <c r="M33" s="26">
        <v>7</v>
      </c>
      <c r="N33" s="26">
        <v>1</v>
      </c>
      <c r="O33" s="26">
        <v>174</v>
      </c>
      <c r="P33" s="26">
        <v>2</v>
      </c>
    </row>
    <row r="34" spans="1:16" s="41" customFormat="1" ht="15.75">
      <c r="A34" s="36" t="s">
        <v>207</v>
      </c>
      <c r="B34" s="36" t="s">
        <v>33</v>
      </c>
      <c r="C34" s="36">
        <v>404</v>
      </c>
      <c r="D34" s="67">
        <v>422</v>
      </c>
      <c r="E34" s="67">
        <v>428</v>
      </c>
      <c r="F34" s="67">
        <v>433</v>
      </c>
      <c r="G34" s="36"/>
      <c r="H34" s="36">
        <v>188</v>
      </c>
      <c r="I34" s="67">
        <v>428</v>
      </c>
      <c r="J34" s="36"/>
      <c r="K34" s="36">
        <v>214</v>
      </c>
      <c r="L34" s="36">
        <f>SUM(C34:K34)</f>
        <v>2517</v>
      </c>
      <c r="M34" s="36">
        <v>4</v>
      </c>
      <c r="N34" s="36">
        <v>4</v>
      </c>
      <c r="O34" s="36">
        <v>-19</v>
      </c>
      <c r="P34" s="36">
        <v>1</v>
      </c>
    </row>
    <row r="35" spans="1:16" s="32" customFormat="1" ht="15.75">
      <c r="A35" s="26" t="s">
        <v>208</v>
      </c>
      <c r="B35" s="26" t="s">
        <v>21</v>
      </c>
      <c r="C35" s="26">
        <v>421</v>
      </c>
      <c r="D35" s="87">
        <v>433</v>
      </c>
      <c r="E35" s="87">
        <v>433</v>
      </c>
      <c r="F35" s="26">
        <v>415</v>
      </c>
      <c r="G35" s="26"/>
      <c r="H35" s="26"/>
      <c r="I35" s="87">
        <v>442</v>
      </c>
      <c r="J35" s="87">
        <v>441</v>
      </c>
      <c r="K35" s="26"/>
      <c r="L35" s="26">
        <f aca="true" t="shared" si="2" ref="L35:L44">SUM(C35:K35)</f>
        <v>2585</v>
      </c>
      <c r="M35" s="26">
        <v>6</v>
      </c>
      <c r="N35" s="26">
        <v>2</v>
      </c>
      <c r="O35" s="26">
        <v>117</v>
      </c>
      <c r="P35" s="26">
        <v>2</v>
      </c>
    </row>
    <row r="36" spans="1:16" s="41" customFormat="1" ht="15.75">
      <c r="A36" s="36" t="s">
        <v>209</v>
      </c>
      <c r="B36" s="36" t="s">
        <v>19</v>
      </c>
      <c r="C36" s="36">
        <v>395</v>
      </c>
      <c r="D36" s="67">
        <v>454</v>
      </c>
      <c r="E36" s="67">
        <v>438</v>
      </c>
      <c r="F36" s="36"/>
      <c r="G36" s="67">
        <v>419</v>
      </c>
      <c r="H36" s="36"/>
      <c r="I36" s="36"/>
      <c r="J36" s="67">
        <v>448</v>
      </c>
      <c r="K36" s="36">
        <v>383</v>
      </c>
      <c r="L36" s="36">
        <f t="shared" si="2"/>
        <v>2537</v>
      </c>
      <c r="M36" s="36">
        <v>6</v>
      </c>
      <c r="N36" s="36">
        <v>2</v>
      </c>
      <c r="O36" s="36">
        <v>203</v>
      </c>
      <c r="P36" s="36">
        <v>2</v>
      </c>
    </row>
    <row r="37" spans="1:16" s="104" customFormat="1" ht="15.75">
      <c r="A37" s="103" t="s">
        <v>210</v>
      </c>
      <c r="B37" s="103" t="s">
        <v>24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>
        <f t="shared" si="2"/>
        <v>0</v>
      </c>
      <c r="M37" s="103"/>
      <c r="N37" s="103"/>
      <c r="O37" s="103"/>
      <c r="P37" s="103"/>
    </row>
    <row r="38" spans="1:16" s="41" customFormat="1" ht="15.75">
      <c r="A38" s="36" t="s">
        <v>211</v>
      </c>
      <c r="B38" s="36" t="s">
        <v>17</v>
      </c>
      <c r="C38" s="67">
        <v>449</v>
      </c>
      <c r="D38" s="67">
        <v>422</v>
      </c>
      <c r="E38" s="36">
        <v>401</v>
      </c>
      <c r="F38" s="36">
        <v>406</v>
      </c>
      <c r="G38" s="36"/>
      <c r="H38" s="36">
        <v>411</v>
      </c>
      <c r="I38" s="36">
        <v>416</v>
      </c>
      <c r="J38" s="36"/>
      <c r="K38" s="36"/>
      <c r="L38" s="36">
        <f t="shared" si="2"/>
        <v>2505</v>
      </c>
      <c r="M38" s="36">
        <v>2</v>
      </c>
      <c r="N38" s="36">
        <v>6</v>
      </c>
      <c r="O38" s="36">
        <v>-59</v>
      </c>
      <c r="P38" s="36">
        <v>0</v>
      </c>
    </row>
    <row r="39" spans="1:16" s="32" customFormat="1" ht="15.75">
      <c r="A39" s="26" t="s">
        <v>212</v>
      </c>
      <c r="B39" s="26" t="s">
        <v>15</v>
      </c>
      <c r="C39" s="26">
        <v>426</v>
      </c>
      <c r="D39" s="87">
        <v>460</v>
      </c>
      <c r="E39" s="26">
        <v>413</v>
      </c>
      <c r="F39" s="87">
        <v>462</v>
      </c>
      <c r="G39" s="26"/>
      <c r="H39" s="26">
        <v>392</v>
      </c>
      <c r="I39" s="87">
        <v>435</v>
      </c>
      <c r="J39" s="26"/>
      <c r="K39" s="26"/>
      <c r="L39" s="26">
        <f t="shared" si="2"/>
        <v>2588</v>
      </c>
      <c r="M39" s="26">
        <v>3</v>
      </c>
      <c r="N39" s="26">
        <v>5</v>
      </c>
      <c r="O39" s="26">
        <v>-10</v>
      </c>
      <c r="P39" s="26">
        <v>0</v>
      </c>
    </row>
    <row r="40" spans="1:16" s="32" customFormat="1" ht="15.75">
      <c r="A40" s="26" t="s">
        <v>213</v>
      </c>
      <c r="B40" s="26" t="s">
        <v>23</v>
      </c>
      <c r="C40" s="26">
        <v>455</v>
      </c>
      <c r="D40" s="26">
        <v>422</v>
      </c>
      <c r="E40" s="26">
        <v>427</v>
      </c>
      <c r="F40" s="26">
        <v>436</v>
      </c>
      <c r="G40" s="26"/>
      <c r="H40" s="26"/>
      <c r="I40" s="26">
        <v>418</v>
      </c>
      <c r="J40" s="26">
        <v>435</v>
      </c>
      <c r="K40" s="26"/>
      <c r="L40" s="26">
        <f t="shared" si="2"/>
        <v>2593</v>
      </c>
      <c r="M40" s="26">
        <v>3</v>
      </c>
      <c r="N40" s="26">
        <v>5</v>
      </c>
      <c r="O40" s="26">
        <v>-15</v>
      </c>
      <c r="P40" s="26">
        <v>0</v>
      </c>
    </row>
    <row r="41" spans="1:16" s="41" customFormat="1" ht="15.75">
      <c r="A41" s="36" t="s">
        <v>214</v>
      </c>
      <c r="B41" s="36" t="s">
        <v>28</v>
      </c>
      <c r="C41" s="67">
        <v>440</v>
      </c>
      <c r="D41" s="67">
        <v>451</v>
      </c>
      <c r="E41" s="36">
        <v>422</v>
      </c>
      <c r="F41" s="67">
        <v>457</v>
      </c>
      <c r="G41" s="36"/>
      <c r="H41" s="36"/>
      <c r="I41" s="67">
        <v>472</v>
      </c>
      <c r="J41" s="36">
        <v>415</v>
      </c>
      <c r="K41" s="36"/>
      <c r="L41" s="36">
        <f t="shared" si="2"/>
        <v>2657</v>
      </c>
      <c r="M41" s="36">
        <v>6</v>
      </c>
      <c r="N41" s="36">
        <v>2</v>
      </c>
      <c r="O41" s="36">
        <v>129</v>
      </c>
      <c r="P41" s="36">
        <v>2</v>
      </c>
    </row>
    <row r="42" spans="1:16" s="32" customFormat="1" ht="15.75">
      <c r="A42" s="26" t="s">
        <v>215</v>
      </c>
      <c r="B42" s="26" t="s">
        <v>20</v>
      </c>
      <c r="C42" s="26">
        <v>431</v>
      </c>
      <c r="D42" s="87">
        <v>442</v>
      </c>
      <c r="E42" s="26">
        <v>403</v>
      </c>
      <c r="F42" s="26">
        <v>432</v>
      </c>
      <c r="G42" s="26"/>
      <c r="H42" s="26"/>
      <c r="I42" s="87">
        <v>444</v>
      </c>
      <c r="J42" s="26">
        <v>415</v>
      </c>
      <c r="K42" s="26"/>
      <c r="L42" s="26">
        <f t="shared" si="2"/>
        <v>2567</v>
      </c>
      <c r="M42" s="26">
        <v>4</v>
      </c>
      <c r="N42" s="26">
        <v>4</v>
      </c>
      <c r="O42" s="26">
        <v>22</v>
      </c>
      <c r="P42" s="26">
        <v>1</v>
      </c>
    </row>
    <row r="43" spans="1:16" s="41" customFormat="1" ht="15.75">
      <c r="A43" s="36" t="s">
        <v>216</v>
      </c>
      <c r="B43" s="36" t="s">
        <v>27</v>
      </c>
      <c r="C43" s="36">
        <v>399</v>
      </c>
      <c r="D43" s="36">
        <v>410</v>
      </c>
      <c r="E43" s="67">
        <v>433</v>
      </c>
      <c r="F43" s="67">
        <v>426</v>
      </c>
      <c r="G43" s="36">
        <v>407</v>
      </c>
      <c r="H43" s="36"/>
      <c r="I43" s="67">
        <v>437</v>
      </c>
      <c r="J43" s="36"/>
      <c r="K43" s="36"/>
      <c r="L43" s="36">
        <f t="shared" si="2"/>
        <v>2512</v>
      </c>
      <c r="M43" s="36">
        <v>3</v>
      </c>
      <c r="N43" s="36">
        <v>5</v>
      </c>
      <c r="O43" s="36">
        <v>-7</v>
      </c>
      <c r="P43" s="36">
        <v>0</v>
      </c>
    </row>
    <row r="44" spans="1:16" s="32" customFormat="1" ht="16.5" thickBot="1">
      <c r="A44" s="26" t="s">
        <v>217</v>
      </c>
      <c r="B44" s="26" t="s">
        <v>26</v>
      </c>
      <c r="C44" s="26"/>
      <c r="D44" s="87">
        <v>470</v>
      </c>
      <c r="E44" s="26">
        <v>446</v>
      </c>
      <c r="F44" s="87">
        <v>450</v>
      </c>
      <c r="G44" s="87">
        <v>456</v>
      </c>
      <c r="H44" s="26"/>
      <c r="I44" s="87">
        <v>486</v>
      </c>
      <c r="J44" s="26"/>
      <c r="K44" s="26">
        <v>433</v>
      </c>
      <c r="L44" s="26">
        <f t="shared" si="2"/>
        <v>2741</v>
      </c>
      <c r="M44" s="35">
        <v>6</v>
      </c>
      <c r="N44" s="35">
        <v>2</v>
      </c>
      <c r="O44" s="35">
        <v>148</v>
      </c>
      <c r="P44" s="35">
        <v>2</v>
      </c>
    </row>
    <row r="45" spans="13:16" ht="16.5" thickTop="1">
      <c r="M45" s="1">
        <f>SUM(M30:M44)</f>
        <v>64</v>
      </c>
      <c r="N45" s="1">
        <f>SUM(N30:N44)</f>
        <v>48</v>
      </c>
      <c r="O45" s="1">
        <f>SUM(O30:O44)</f>
        <v>714</v>
      </c>
      <c r="P45" s="1">
        <f>SUM(P30:P44)</f>
        <v>16</v>
      </c>
    </row>
  </sheetData>
  <mergeCells count="9">
    <mergeCell ref="C1:J1"/>
    <mergeCell ref="M1:N1"/>
    <mergeCell ref="C21:D21"/>
    <mergeCell ref="M19:N19"/>
    <mergeCell ref="I24:J24"/>
    <mergeCell ref="M24:N24"/>
    <mergeCell ref="M25:N25"/>
    <mergeCell ref="C22:D22"/>
    <mergeCell ref="C23:D23"/>
  </mergeCells>
  <printOptions/>
  <pageMargins left="0.75" right="0.75" top="1" bottom="1" header="0.5" footer="0.5"/>
  <pageSetup orientation="portrait" paperSize="9"/>
  <ignoredErrors>
    <ignoredError sqref="D19 F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zoomScale="89" zoomScaleNormal="89" workbookViewId="0" topLeftCell="A25">
      <selection activeCell="M46" sqref="M46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0.00390625" style="1" customWidth="1"/>
    <col min="5" max="10" width="9.125" style="1" customWidth="1"/>
    <col min="11" max="11" width="11.25390625" style="1" customWidth="1"/>
    <col min="12" max="13" width="9.125" style="1" customWidth="1"/>
    <col min="14" max="14" width="16.253906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5.75390625" style="0" bestFit="1" customWidth="1"/>
  </cols>
  <sheetData>
    <row r="1" spans="3:21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18" t="s">
        <v>37</v>
      </c>
      <c r="P1" s="118"/>
      <c r="S1" s="2"/>
      <c r="T1" s="2"/>
      <c r="U1" s="2"/>
    </row>
    <row r="2" spans="2:18" ht="32.25" thickBot="1">
      <c r="B2" s="3" t="s">
        <v>30</v>
      </c>
      <c r="C2" s="13" t="s">
        <v>101</v>
      </c>
      <c r="D2" s="13" t="s">
        <v>102</v>
      </c>
      <c r="E2" s="13" t="s">
        <v>103</v>
      </c>
      <c r="F2" s="13" t="s">
        <v>104</v>
      </c>
      <c r="G2" s="13" t="s">
        <v>105</v>
      </c>
      <c r="H2" s="13" t="s">
        <v>106</v>
      </c>
      <c r="I2" s="13" t="s">
        <v>151</v>
      </c>
      <c r="J2" s="13"/>
      <c r="K2" s="17" t="s">
        <v>161</v>
      </c>
      <c r="L2" s="17" t="s">
        <v>176</v>
      </c>
      <c r="M2" s="13" t="s">
        <v>177</v>
      </c>
      <c r="N2" s="3" t="s">
        <v>39</v>
      </c>
      <c r="O2" s="3" t="s">
        <v>20</v>
      </c>
      <c r="P2" s="3" t="s">
        <v>38</v>
      </c>
      <c r="Q2" s="3" t="s">
        <v>40</v>
      </c>
      <c r="R2" s="15" t="s">
        <v>143</v>
      </c>
    </row>
    <row r="3" spans="1:18" s="41" customFormat="1" ht="15.75">
      <c r="A3" s="36" t="s">
        <v>0</v>
      </c>
      <c r="B3" s="36" t="s">
        <v>21</v>
      </c>
      <c r="C3" s="72">
        <v>427</v>
      </c>
      <c r="D3" s="72">
        <v>435</v>
      </c>
      <c r="E3" s="72">
        <v>443</v>
      </c>
      <c r="F3" s="59">
        <v>418</v>
      </c>
      <c r="G3" s="59">
        <v>400</v>
      </c>
      <c r="H3" s="59">
        <v>414</v>
      </c>
      <c r="I3" s="59"/>
      <c r="J3" s="59"/>
      <c r="K3" s="59"/>
      <c r="L3" s="59"/>
      <c r="M3" s="54"/>
      <c r="N3" s="39">
        <f>SUM(C3:M3)</f>
        <v>2537</v>
      </c>
      <c r="O3" s="36">
        <v>5</v>
      </c>
      <c r="P3" s="36">
        <v>3</v>
      </c>
      <c r="Q3" s="39">
        <f>N3-2384</f>
        <v>153</v>
      </c>
      <c r="R3" s="36">
        <v>2</v>
      </c>
    </row>
    <row r="4" spans="1:18" s="32" customFormat="1" ht="15.75">
      <c r="A4" s="26" t="s">
        <v>1</v>
      </c>
      <c r="B4" s="26" t="s">
        <v>33</v>
      </c>
      <c r="C4" s="66">
        <v>429</v>
      </c>
      <c r="D4" s="62"/>
      <c r="E4" s="66">
        <v>424</v>
      </c>
      <c r="F4" s="66">
        <v>457</v>
      </c>
      <c r="G4" s="58">
        <v>404</v>
      </c>
      <c r="H4" s="58">
        <v>418</v>
      </c>
      <c r="I4" s="66">
        <v>422</v>
      </c>
      <c r="J4" s="58"/>
      <c r="K4" s="58"/>
      <c r="L4" s="58"/>
      <c r="M4" s="49"/>
      <c r="N4" s="30">
        <f aca="true" t="shared" si="0" ref="N4:N17">SUM(C4:M4)</f>
        <v>2554</v>
      </c>
      <c r="O4" s="26">
        <v>6</v>
      </c>
      <c r="P4" s="26">
        <v>2</v>
      </c>
      <c r="Q4" s="26">
        <v>124</v>
      </c>
      <c r="R4" s="26">
        <v>2</v>
      </c>
    </row>
    <row r="5" spans="1:18" s="41" customFormat="1" ht="15.75">
      <c r="A5" s="36" t="s">
        <v>2</v>
      </c>
      <c r="B5" s="36" t="s">
        <v>25</v>
      </c>
      <c r="C5" s="64"/>
      <c r="D5" s="72">
        <v>394</v>
      </c>
      <c r="E5" s="72">
        <v>395</v>
      </c>
      <c r="F5" s="72">
        <v>448</v>
      </c>
      <c r="G5" s="72">
        <v>415</v>
      </c>
      <c r="H5" s="72">
        <v>417</v>
      </c>
      <c r="I5" s="59"/>
      <c r="J5" s="59"/>
      <c r="L5" s="59">
        <v>145</v>
      </c>
      <c r="M5" s="54">
        <v>202</v>
      </c>
      <c r="N5" s="39">
        <f t="shared" si="0"/>
        <v>2416</v>
      </c>
      <c r="O5" s="36">
        <v>7</v>
      </c>
      <c r="P5" s="36">
        <v>1</v>
      </c>
      <c r="Q5" s="39">
        <f>N5-2250</f>
        <v>166</v>
      </c>
      <c r="R5" s="36">
        <v>2</v>
      </c>
    </row>
    <row r="6" spans="1:18" s="32" customFormat="1" ht="15.75">
      <c r="A6" s="26" t="s">
        <v>3</v>
      </c>
      <c r="B6" s="26" t="s">
        <v>29</v>
      </c>
      <c r="C6" s="58">
        <v>412</v>
      </c>
      <c r="D6" s="66">
        <v>425</v>
      </c>
      <c r="E6" s="62">
        <v>328</v>
      </c>
      <c r="F6" s="58">
        <v>394</v>
      </c>
      <c r="G6" s="66">
        <v>420</v>
      </c>
      <c r="H6" s="58">
        <v>385</v>
      </c>
      <c r="I6" s="58"/>
      <c r="J6" s="58"/>
      <c r="K6" s="58"/>
      <c r="L6" s="58"/>
      <c r="M6" s="49"/>
      <c r="N6" s="30">
        <f t="shared" si="0"/>
        <v>2364</v>
      </c>
      <c r="O6" s="26">
        <v>2</v>
      </c>
      <c r="P6" s="26">
        <v>6</v>
      </c>
      <c r="Q6" s="26">
        <v>-178</v>
      </c>
      <c r="R6" s="26">
        <v>0</v>
      </c>
    </row>
    <row r="7" spans="1:18" s="41" customFormat="1" ht="15.75">
      <c r="A7" s="36" t="s">
        <v>4</v>
      </c>
      <c r="B7" s="36" t="s">
        <v>31</v>
      </c>
      <c r="C7" s="72">
        <v>426</v>
      </c>
      <c r="D7" s="64">
        <v>406</v>
      </c>
      <c r="E7" s="72">
        <v>420</v>
      </c>
      <c r="F7" s="59">
        <v>401</v>
      </c>
      <c r="G7" s="59">
        <v>410</v>
      </c>
      <c r="H7" s="59"/>
      <c r="I7" s="59"/>
      <c r="J7" s="59"/>
      <c r="K7" s="59"/>
      <c r="L7" s="59"/>
      <c r="M7" s="54">
        <v>394</v>
      </c>
      <c r="N7" s="39">
        <f t="shared" si="0"/>
        <v>2457</v>
      </c>
      <c r="O7" s="36">
        <v>2</v>
      </c>
      <c r="P7" s="36">
        <v>6</v>
      </c>
      <c r="Q7" s="39">
        <f>N7-2567</f>
        <v>-110</v>
      </c>
      <c r="R7" s="36">
        <v>0</v>
      </c>
    </row>
    <row r="8" spans="1:18" s="32" customFormat="1" ht="15.75">
      <c r="A8" s="26" t="s">
        <v>5</v>
      </c>
      <c r="B8" s="26" t="s">
        <v>18</v>
      </c>
      <c r="C8" s="66">
        <v>440</v>
      </c>
      <c r="D8" s="62">
        <v>409</v>
      </c>
      <c r="E8" s="62"/>
      <c r="F8" s="58">
        <v>400</v>
      </c>
      <c r="G8" s="66">
        <v>435</v>
      </c>
      <c r="H8" s="58">
        <v>397</v>
      </c>
      <c r="I8" s="58"/>
      <c r="J8" s="58"/>
      <c r="K8" s="58"/>
      <c r="L8" s="58"/>
      <c r="M8" s="88">
        <v>418</v>
      </c>
      <c r="N8" s="30">
        <f t="shared" si="0"/>
        <v>2499</v>
      </c>
      <c r="O8" s="26">
        <v>3</v>
      </c>
      <c r="P8" s="26">
        <v>5</v>
      </c>
      <c r="Q8" s="26">
        <v>-66</v>
      </c>
      <c r="R8" s="26">
        <v>0</v>
      </c>
    </row>
    <row r="9" spans="1:18" s="41" customFormat="1" ht="15.75">
      <c r="A9" s="36" t="s">
        <v>6</v>
      </c>
      <c r="B9" s="36" t="s">
        <v>26</v>
      </c>
      <c r="C9" s="72">
        <v>442</v>
      </c>
      <c r="D9" s="64">
        <v>413</v>
      </c>
      <c r="E9" s="64"/>
      <c r="F9" s="59">
        <v>393</v>
      </c>
      <c r="G9" s="72">
        <v>431</v>
      </c>
      <c r="H9" s="59">
        <v>420</v>
      </c>
      <c r="I9" s="59"/>
      <c r="J9" s="59"/>
      <c r="K9" s="59"/>
      <c r="L9" s="59"/>
      <c r="M9" s="54">
        <v>381</v>
      </c>
      <c r="N9" s="39">
        <f t="shared" si="0"/>
        <v>2480</v>
      </c>
      <c r="O9" s="36">
        <v>2</v>
      </c>
      <c r="P9" s="36">
        <v>6</v>
      </c>
      <c r="Q9" s="36">
        <v>-126</v>
      </c>
      <c r="R9" s="36">
        <v>0</v>
      </c>
    </row>
    <row r="10" spans="1:18" s="32" customFormat="1" ht="15.75">
      <c r="A10" s="26" t="s">
        <v>7</v>
      </c>
      <c r="B10" s="26" t="s">
        <v>27</v>
      </c>
      <c r="C10" s="58">
        <v>431</v>
      </c>
      <c r="D10" s="66">
        <v>445</v>
      </c>
      <c r="E10" s="62">
        <v>418</v>
      </c>
      <c r="F10" s="58">
        <v>434</v>
      </c>
      <c r="G10" s="58">
        <v>434</v>
      </c>
      <c r="H10" s="58">
        <v>439</v>
      </c>
      <c r="I10" s="58"/>
      <c r="J10" s="58"/>
      <c r="K10" s="58"/>
      <c r="L10" s="58"/>
      <c r="M10" s="49"/>
      <c r="N10" s="30">
        <f t="shared" si="0"/>
        <v>2601</v>
      </c>
      <c r="O10" s="26">
        <v>1</v>
      </c>
      <c r="P10" s="26">
        <v>7</v>
      </c>
      <c r="Q10" s="26">
        <v>-24</v>
      </c>
      <c r="R10" s="26">
        <v>0</v>
      </c>
    </row>
    <row r="11" spans="1:18" s="41" customFormat="1" ht="15.75">
      <c r="A11" s="36" t="s">
        <v>8</v>
      </c>
      <c r="B11" s="36" t="s">
        <v>23</v>
      </c>
      <c r="C11" s="64">
        <v>391</v>
      </c>
      <c r="D11" s="72">
        <v>421</v>
      </c>
      <c r="E11" s="64">
        <v>387</v>
      </c>
      <c r="F11" s="59"/>
      <c r="G11" s="59">
        <v>399</v>
      </c>
      <c r="H11" s="72">
        <v>409</v>
      </c>
      <c r="I11" s="59"/>
      <c r="J11" s="59"/>
      <c r="K11" s="59"/>
      <c r="L11" s="59"/>
      <c r="M11" s="54">
        <v>375</v>
      </c>
      <c r="N11" s="39">
        <f t="shared" si="0"/>
        <v>2382</v>
      </c>
      <c r="O11" s="36">
        <v>2</v>
      </c>
      <c r="P11" s="36">
        <v>6</v>
      </c>
      <c r="Q11" s="36">
        <v>-130</v>
      </c>
      <c r="R11" s="36">
        <v>0</v>
      </c>
    </row>
    <row r="12" spans="1:18" s="41" customFormat="1" ht="15.75">
      <c r="A12" s="36" t="s">
        <v>9</v>
      </c>
      <c r="B12" s="36" t="s">
        <v>28</v>
      </c>
      <c r="C12" s="72">
        <v>428</v>
      </c>
      <c r="D12" s="64">
        <v>418</v>
      </c>
      <c r="E12" s="64">
        <v>411</v>
      </c>
      <c r="F12" s="59">
        <v>399</v>
      </c>
      <c r="G12" s="72">
        <v>427</v>
      </c>
      <c r="H12" s="72">
        <v>459</v>
      </c>
      <c r="I12" s="59"/>
      <c r="J12" s="59"/>
      <c r="K12" s="59"/>
      <c r="L12" s="59"/>
      <c r="M12" s="54"/>
      <c r="N12" s="39">
        <f t="shared" si="0"/>
        <v>2542</v>
      </c>
      <c r="O12" s="36">
        <v>5</v>
      </c>
      <c r="P12" s="36">
        <v>3</v>
      </c>
      <c r="Q12" s="39">
        <f>N12-2513</f>
        <v>29</v>
      </c>
      <c r="R12" s="36">
        <v>2</v>
      </c>
    </row>
    <row r="13" spans="1:18" s="32" customFormat="1" ht="15.75">
      <c r="A13" s="26" t="s">
        <v>10</v>
      </c>
      <c r="B13" s="26" t="s">
        <v>16</v>
      </c>
      <c r="C13" s="66">
        <v>422</v>
      </c>
      <c r="D13" s="62">
        <v>415</v>
      </c>
      <c r="E13" s="62">
        <v>383</v>
      </c>
      <c r="F13" s="66">
        <v>439</v>
      </c>
      <c r="G13" s="66">
        <v>427</v>
      </c>
      <c r="H13" s="58">
        <v>402</v>
      </c>
      <c r="I13" s="58"/>
      <c r="J13" s="58"/>
      <c r="K13" s="58"/>
      <c r="L13" s="58"/>
      <c r="M13" s="49"/>
      <c r="N13" s="30">
        <f t="shared" si="0"/>
        <v>2488</v>
      </c>
      <c r="O13" s="30">
        <v>3</v>
      </c>
      <c r="P13" s="26">
        <v>5</v>
      </c>
      <c r="Q13" s="26">
        <v>-37</v>
      </c>
      <c r="R13" s="26">
        <v>0</v>
      </c>
    </row>
    <row r="14" spans="1:18" s="41" customFormat="1" ht="15.75">
      <c r="A14" s="36" t="s">
        <v>11</v>
      </c>
      <c r="B14" s="36" t="s">
        <v>15</v>
      </c>
      <c r="C14" s="72">
        <v>419</v>
      </c>
      <c r="D14" s="72">
        <v>423</v>
      </c>
      <c r="E14" s="64">
        <v>397</v>
      </c>
      <c r="F14" s="59">
        <v>407</v>
      </c>
      <c r="G14" s="59">
        <v>374</v>
      </c>
      <c r="H14" s="72">
        <v>455</v>
      </c>
      <c r="I14" s="59"/>
      <c r="J14" s="59"/>
      <c r="K14" s="59"/>
      <c r="L14" s="59"/>
      <c r="M14" s="54"/>
      <c r="N14" s="39">
        <f t="shared" si="0"/>
        <v>2475</v>
      </c>
      <c r="O14" s="36">
        <v>3</v>
      </c>
      <c r="P14" s="36">
        <v>5</v>
      </c>
      <c r="Q14" s="36">
        <v>-51</v>
      </c>
      <c r="R14" s="36">
        <v>0</v>
      </c>
    </row>
    <row r="15" spans="1:18" s="32" customFormat="1" ht="15.75">
      <c r="A15" s="26" t="s">
        <v>12</v>
      </c>
      <c r="B15" s="26" t="s">
        <v>17</v>
      </c>
      <c r="C15" s="83">
        <v>465</v>
      </c>
      <c r="D15" s="66">
        <v>439</v>
      </c>
      <c r="E15" s="62"/>
      <c r="F15" s="61">
        <v>418</v>
      </c>
      <c r="G15" s="61">
        <v>418</v>
      </c>
      <c r="H15" s="83">
        <v>420</v>
      </c>
      <c r="I15" s="61"/>
      <c r="J15" s="61"/>
      <c r="K15" s="61"/>
      <c r="L15" s="61"/>
      <c r="M15" s="49">
        <v>415</v>
      </c>
      <c r="N15" s="30">
        <f t="shared" si="0"/>
        <v>2575</v>
      </c>
      <c r="O15" s="26">
        <v>5</v>
      </c>
      <c r="P15" s="26">
        <v>3</v>
      </c>
      <c r="Q15" s="26">
        <v>72</v>
      </c>
      <c r="R15" s="26">
        <v>2</v>
      </c>
    </row>
    <row r="16" spans="1:18" s="57" customFormat="1" ht="15.75">
      <c r="A16" s="1" t="s">
        <v>13</v>
      </c>
      <c r="B16" s="21" t="s">
        <v>24</v>
      </c>
      <c r="C16" s="73"/>
      <c r="D16" s="65"/>
      <c r="E16" s="65"/>
      <c r="F16" s="73"/>
      <c r="G16" s="73"/>
      <c r="H16" s="73"/>
      <c r="I16" s="73"/>
      <c r="J16" s="73"/>
      <c r="K16" s="73"/>
      <c r="L16" s="73"/>
      <c r="M16" s="18"/>
      <c r="N16" s="7">
        <f t="shared" si="0"/>
        <v>0</v>
      </c>
      <c r="O16" s="1"/>
      <c r="P16" s="1"/>
      <c r="Q16" s="1"/>
      <c r="R16" s="1"/>
    </row>
    <row r="17" spans="1:18" s="32" customFormat="1" ht="16.5" thickBot="1">
      <c r="A17" s="26" t="s">
        <v>14</v>
      </c>
      <c r="B17" s="26" t="s">
        <v>19</v>
      </c>
      <c r="C17" s="101">
        <v>423</v>
      </c>
      <c r="D17" s="101">
        <v>415</v>
      </c>
      <c r="E17" s="71"/>
      <c r="F17" s="69"/>
      <c r="G17" s="101">
        <v>435</v>
      </c>
      <c r="H17" s="101">
        <v>415</v>
      </c>
      <c r="I17" s="69"/>
      <c r="J17" s="69"/>
      <c r="K17" s="69"/>
      <c r="L17" s="69">
        <v>369</v>
      </c>
      <c r="M17" s="100">
        <v>433</v>
      </c>
      <c r="N17" s="74">
        <f t="shared" si="0"/>
        <v>2490</v>
      </c>
      <c r="O17" s="35">
        <v>7</v>
      </c>
      <c r="P17" s="35">
        <v>1</v>
      </c>
      <c r="Q17" s="34">
        <f>N17-2265</f>
        <v>225</v>
      </c>
      <c r="R17" s="35">
        <v>2</v>
      </c>
    </row>
    <row r="18" spans="3:13" ht="16.5" thickTop="1">
      <c r="C18" s="7">
        <f>SUM(C3:C17)</f>
        <v>5555</v>
      </c>
      <c r="D18" s="7">
        <f aca="true" t="shared" si="1" ref="D18:M18">SUM(D3:D17)</f>
        <v>5458</v>
      </c>
      <c r="E18" s="7">
        <f t="shared" si="1"/>
        <v>4006</v>
      </c>
      <c r="F18" s="7">
        <f t="shared" si="1"/>
        <v>5008</v>
      </c>
      <c r="G18" s="7">
        <f t="shared" si="1"/>
        <v>5829</v>
      </c>
      <c r="H18" s="7">
        <f t="shared" si="1"/>
        <v>5450</v>
      </c>
      <c r="I18" s="7">
        <f t="shared" si="1"/>
        <v>422</v>
      </c>
      <c r="J18" s="7">
        <f t="shared" si="1"/>
        <v>0</v>
      </c>
      <c r="K18" s="7">
        <f t="shared" si="1"/>
        <v>0</v>
      </c>
      <c r="L18" s="7">
        <f t="shared" si="1"/>
        <v>514</v>
      </c>
      <c r="M18" s="7">
        <f t="shared" si="1"/>
        <v>2618</v>
      </c>
    </row>
    <row r="19" spans="2:20" ht="33.75" customHeight="1">
      <c r="B19" s="16" t="s">
        <v>163</v>
      </c>
      <c r="C19" s="22">
        <f>C18/13</f>
        <v>427.3076923076923</v>
      </c>
      <c r="D19" s="22">
        <f>D18/13</f>
        <v>419.84615384615387</v>
      </c>
      <c r="E19" s="22">
        <f>E18/10</f>
        <v>400.6</v>
      </c>
      <c r="F19" s="22">
        <f>F18/12</f>
        <v>417.3333333333333</v>
      </c>
      <c r="G19" s="22">
        <f>G18/14</f>
        <v>416.35714285714283</v>
      </c>
      <c r="H19" s="22">
        <f>H18/13</f>
        <v>419.2307692307692</v>
      </c>
      <c r="I19" s="22">
        <f>I18/1</f>
        <v>422</v>
      </c>
      <c r="J19" s="22"/>
      <c r="K19" s="22"/>
      <c r="L19" s="22">
        <f>L18/1.5</f>
        <v>342.6666666666667</v>
      </c>
      <c r="M19" s="22">
        <f>M18/6.5</f>
        <v>402.7692307692308</v>
      </c>
      <c r="N19" s="3" t="s">
        <v>39</v>
      </c>
      <c r="O19" s="118" t="s">
        <v>144</v>
      </c>
      <c r="P19" s="118"/>
      <c r="Q19" s="3" t="s">
        <v>40</v>
      </c>
      <c r="R19" s="15" t="s">
        <v>145</v>
      </c>
      <c r="T19" s="19" t="s">
        <v>159</v>
      </c>
    </row>
    <row r="20" spans="14:20" ht="15.75">
      <c r="N20" s="7">
        <f>SUM(N3:N17)</f>
        <v>34860</v>
      </c>
      <c r="O20" s="1">
        <f>SUM(O3:O17)</f>
        <v>53</v>
      </c>
      <c r="P20" s="1">
        <f>SUM(P3:P17)</f>
        <v>59</v>
      </c>
      <c r="Q20" s="1">
        <f>SUM(Q3:Q17)</f>
        <v>47</v>
      </c>
      <c r="R20" s="1">
        <f>SUM(R3:R17)</f>
        <v>12</v>
      </c>
      <c r="T20" s="2">
        <f>O20-P20</f>
        <v>-6</v>
      </c>
    </row>
    <row r="21" ht="15.75">
      <c r="G21" s="20"/>
    </row>
    <row r="22" spans="3:15" ht="15.75">
      <c r="C22" s="119" t="s">
        <v>52</v>
      </c>
      <c r="D22" s="119"/>
      <c r="N22" s="1" t="s">
        <v>164</v>
      </c>
      <c r="O22" s="24">
        <f>SUM(N3:N17)/14</f>
        <v>2490</v>
      </c>
    </row>
    <row r="23" spans="3:4" ht="15.75">
      <c r="C23" s="116" t="s">
        <v>168</v>
      </c>
      <c r="D23" s="116"/>
    </row>
    <row r="24" spans="3:13" ht="15.75">
      <c r="C24" s="117" t="s">
        <v>169</v>
      </c>
      <c r="D24" s="117"/>
      <c r="I24" s="120" t="s">
        <v>199</v>
      </c>
      <c r="J24" s="120"/>
      <c r="K24" s="16" t="s">
        <v>200</v>
      </c>
      <c r="L24" s="122" t="s">
        <v>159</v>
      </c>
      <c r="M24" s="122"/>
    </row>
    <row r="25" spans="9:13" ht="15.75">
      <c r="I25" s="1">
        <f>O20+O45</f>
        <v>102</v>
      </c>
      <c r="J25" s="1">
        <f>P20+P45</f>
        <v>122</v>
      </c>
      <c r="K25" s="1">
        <f>R20+R45</f>
        <v>22</v>
      </c>
      <c r="L25" s="115">
        <f>I25-J25</f>
        <v>-20</v>
      </c>
      <c r="M25" s="115"/>
    </row>
    <row r="26" spans="2:7" ht="15.75">
      <c r="B26" s="92" t="s">
        <v>183</v>
      </c>
      <c r="C26" s="86"/>
      <c r="D26" s="73" t="s">
        <v>187</v>
      </c>
      <c r="E26" s="86" t="s">
        <v>184</v>
      </c>
      <c r="F26" s="93" t="s">
        <v>186</v>
      </c>
      <c r="G26" s="86"/>
    </row>
    <row r="27" spans="2:7" ht="15.75">
      <c r="B27" s="92"/>
      <c r="C27" s="86"/>
      <c r="D27" s="73"/>
      <c r="E27" s="86"/>
      <c r="F27" s="93"/>
      <c r="G27" s="86"/>
    </row>
    <row r="29" spans="2:18" ht="32.25" thickBot="1">
      <c r="B29" s="3" t="s">
        <v>30</v>
      </c>
      <c r="C29" s="13" t="s">
        <v>101</v>
      </c>
      <c r="D29" s="13" t="s">
        <v>102</v>
      </c>
      <c r="E29" s="13" t="s">
        <v>103</v>
      </c>
      <c r="F29" s="13" t="s">
        <v>104</v>
      </c>
      <c r="G29" s="13" t="s">
        <v>105</v>
      </c>
      <c r="H29" s="13" t="s">
        <v>106</v>
      </c>
      <c r="I29" s="13" t="s">
        <v>151</v>
      </c>
      <c r="J29" s="13" t="s">
        <v>219</v>
      </c>
      <c r="K29" s="17" t="s">
        <v>161</v>
      </c>
      <c r="L29" s="17" t="s">
        <v>176</v>
      </c>
      <c r="M29" s="13" t="s">
        <v>177</v>
      </c>
      <c r="N29" s="3" t="s">
        <v>39</v>
      </c>
      <c r="O29" s="3" t="s">
        <v>20</v>
      </c>
      <c r="P29" s="3" t="s">
        <v>38</v>
      </c>
      <c r="Q29" s="3" t="s">
        <v>40</v>
      </c>
      <c r="R29" s="15" t="s">
        <v>143</v>
      </c>
    </row>
    <row r="30" spans="1:18" s="41" customFormat="1" ht="15.75">
      <c r="A30" s="36" t="s">
        <v>198</v>
      </c>
      <c r="B30" s="36" t="s">
        <v>27</v>
      </c>
      <c r="C30" s="67">
        <v>457</v>
      </c>
      <c r="D30" s="67">
        <v>413</v>
      </c>
      <c r="E30" s="36">
        <v>164</v>
      </c>
      <c r="F30" s="36">
        <v>215</v>
      </c>
      <c r="G30" s="36">
        <v>401</v>
      </c>
      <c r="H30" s="36">
        <v>400</v>
      </c>
      <c r="I30" s="36"/>
      <c r="J30" s="36"/>
      <c r="K30" s="36"/>
      <c r="L30" s="36"/>
      <c r="M30" s="67">
        <v>433</v>
      </c>
      <c r="N30" s="36">
        <f>SUM(C30:M30)</f>
        <v>2483</v>
      </c>
      <c r="O30" s="36">
        <v>3</v>
      </c>
      <c r="P30" s="36">
        <v>5</v>
      </c>
      <c r="Q30" s="36">
        <f>N30-2512</f>
        <v>-29</v>
      </c>
      <c r="R30" s="36">
        <v>0</v>
      </c>
    </row>
    <row r="31" spans="1:18" s="32" customFormat="1" ht="15.75">
      <c r="A31" s="26" t="s">
        <v>202</v>
      </c>
      <c r="B31" s="26" t="s">
        <v>26</v>
      </c>
      <c r="C31" s="87">
        <v>457</v>
      </c>
      <c r="D31" s="26">
        <v>414</v>
      </c>
      <c r="E31" s="26"/>
      <c r="F31" s="87">
        <v>453</v>
      </c>
      <c r="G31" s="87">
        <v>422</v>
      </c>
      <c r="H31" s="26">
        <v>417</v>
      </c>
      <c r="I31" s="26"/>
      <c r="J31" s="26"/>
      <c r="K31" s="26"/>
      <c r="L31" s="26"/>
      <c r="M31" s="26">
        <v>418</v>
      </c>
      <c r="N31" s="26">
        <f>SUM(C31:M31)</f>
        <v>2581</v>
      </c>
      <c r="O31" s="26">
        <v>5</v>
      </c>
      <c r="P31" s="26">
        <v>3</v>
      </c>
      <c r="Q31" s="26">
        <v>64</v>
      </c>
      <c r="R31" s="26">
        <v>2</v>
      </c>
    </row>
    <row r="32" spans="1:18" s="41" customFormat="1" ht="15.75">
      <c r="A32" s="36" t="s">
        <v>204</v>
      </c>
      <c r="B32" s="36" t="s">
        <v>18</v>
      </c>
      <c r="C32" s="36">
        <v>379</v>
      </c>
      <c r="D32" s="67">
        <v>408</v>
      </c>
      <c r="E32" s="36"/>
      <c r="F32" s="36"/>
      <c r="G32" s="36">
        <v>402</v>
      </c>
      <c r="H32" s="36">
        <v>403</v>
      </c>
      <c r="I32" s="36"/>
      <c r="J32" s="36"/>
      <c r="K32" s="36"/>
      <c r="L32" s="36">
        <v>347</v>
      </c>
      <c r="M32" s="67">
        <v>454</v>
      </c>
      <c r="N32" s="36">
        <f>SUM(C32:M32)</f>
        <v>2393</v>
      </c>
      <c r="O32" s="36">
        <v>2</v>
      </c>
      <c r="P32" s="36">
        <v>6</v>
      </c>
      <c r="Q32" s="36">
        <v>-104</v>
      </c>
      <c r="R32" s="36">
        <v>0</v>
      </c>
    </row>
    <row r="33" spans="1:18" s="32" customFormat="1" ht="15.75">
      <c r="A33" s="26" t="s">
        <v>205</v>
      </c>
      <c r="B33" s="26" t="s">
        <v>31</v>
      </c>
      <c r="C33" s="87">
        <v>460</v>
      </c>
      <c r="D33" s="26">
        <v>430</v>
      </c>
      <c r="E33" s="26">
        <v>391</v>
      </c>
      <c r="F33" s="26"/>
      <c r="G33" s="26">
        <v>420</v>
      </c>
      <c r="H33" s="26">
        <v>429</v>
      </c>
      <c r="I33" s="26"/>
      <c r="J33" s="26"/>
      <c r="K33" s="26"/>
      <c r="L33" s="26"/>
      <c r="M33" s="87">
        <v>449</v>
      </c>
      <c r="N33" s="26">
        <f>SUM(C33:M33)</f>
        <v>2579</v>
      </c>
      <c r="O33" s="26">
        <v>2</v>
      </c>
      <c r="P33" s="26">
        <v>6</v>
      </c>
      <c r="Q33" s="26">
        <v>-32</v>
      </c>
      <c r="R33" s="26">
        <v>0</v>
      </c>
    </row>
    <row r="34" spans="1:18" s="41" customFormat="1" ht="15.75">
      <c r="A34" s="36" t="s">
        <v>207</v>
      </c>
      <c r="B34" s="36" t="s">
        <v>29</v>
      </c>
      <c r="C34" s="67">
        <v>446</v>
      </c>
      <c r="D34" s="36">
        <v>398</v>
      </c>
      <c r="E34" s="36">
        <v>412</v>
      </c>
      <c r="F34" s="36"/>
      <c r="G34" s="36">
        <v>421</v>
      </c>
      <c r="H34" s="36">
        <v>424</v>
      </c>
      <c r="I34" s="36"/>
      <c r="J34" s="36"/>
      <c r="K34" s="36"/>
      <c r="L34" s="36"/>
      <c r="M34" s="67">
        <v>452</v>
      </c>
      <c r="N34" s="36">
        <f>SUM(C34:M34)</f>
        <v>2553</v>
      </c>
      <c r="O34" s="36">
        <v>2</v>
      </c>
      <c r="P34" s="36">
        <v>6</v>
      </c>
      <c r="Q34" s="36">
        <f>N34-2562</f>
        <v>-9</v>
      </c>
      <c r="R34" s="36">
        <v>0</v>
      </c>
    </row>
    <row r="35" spans="1:18" s="32" customFormat="1" ht="15.75">
      <c r="A35" s="26" t="s">
        <v>208</v>
      </c>
      <c r="B35" s="26" t="s">
        <v>25</v>
      </c>
      <c r="C35" s="26"/>
      <c r="D35" s="87">
        <v>405</v>
      </c>
      <c r="E35" s="87">
        <v>424</v>
      </c>
      <c r="F35" s="26"/>
      <c r="G35" s="87">
        <v>422</v>
      </c>
      <c r="H35" s="26">
        <v>390</v>
      </c>
      <c r="I35" s="26"/>
      <c r="J35" s="26"/>
      <c r="K35" s="26"/>
      <c r="L35" s="26">
        <v>367</v>
      </c>
      <c r="M35" s="87">
        <v>415</v>
      </c>
      <c r="N35" s="26">
        <f aca="true" t="shared" si="2" ref="N35:N44">SUM(C35:M35)</f>
        <v>2423</v>
      </c>
      <c r="O35" s="26">
        <v>6</v>
      </c>
      <c r="P35" s="26">
        <v>2</v>
      </c>
      <c r="Q35" s="26">
        <v>80</v>
      </c>
      <c r="R35" s="26">
        <v>2</v>
      </c>
    </row>
    <row r="36" spans="1:18" s="41" customFormat="1" ht="15.75">
      <c r="A36" s="36" t="s">
        <v>209</v>
      </c>
      <c r="B36" s="36" t="s">
        <v>33</v>
      </c>
      <c r="C36" s="36">
        <v>380</v>
      </c>
      <c r="D36" s="67">
        <v>435</v>
      </c>
      <c r="E36" s="36"/>
      <c r="F36" s="36">
        <v>403</v>
      </c>
      <c r="G36" s="67">
        <v>451</v>
      </c>
      <c r="H36" s="36">
        <v>421</v>
      </c>
      <c r="I36" s="36"/>
      <c r="J36" s="36"/>
      <c r="K36" s="36"/>
      <c r="L36" s="36"/>
      <c r="M36" s="36">
        <v>404</v>
      </c>
      <c r="N36" s="36">
        <f t="shared" si="2"/>
        <v>2494</v>
      </c>
      <c r="O36" s="36">
        <v>2</v>
      </c>
      <c r="P36" s="36">
        <v>6</v>
      </c>
      <c r="Q36" s="36">
        <v>-64</v>
      </c>
      <c r="R36" s="36">
        <v>0</v>
      </c>
    </row>
    <row r="37" spans="1:18" s="32" customFormat="1" ht="15.75">
      <c r="A37" s="26" t="s">
        <v>210</v>
      </c>
      <c r="B37" s="26" t="s">
        <v>21</v>
      </c>
      <c r="C37" s="87">
        <v>422</v>
      </c>
      <c r="D37" s="87">
        <v>460</v>
      </c>
      <c r="E37" s="26">
        <v>403</v>
      </c>
      <c r="F37" s="26"/>
      <c r="G37" s="87">
        <v>438</v>
      </c>
      <c r="H37" s="87">
        <v>436</v>
      </c>
      <c r="I37" s="26"/>
      <c r="J37" s="26"/>
      <c r="K37" s="26"/>
      <c r="L37" s="26"/>
      <c r="M37" s="26">
        <v>417</v>
      </c>
      <c r="N37" s="26">
        <f t="shared" si="2"/>
        <v>2576</v>
      </c>
      <c r="O37" s="26">
        <v>6</v>
      </c>
      <c r="P37" s="26">
        <v>2</v>
      </c>
      <c r="Q37" s="26">
        <v>190</v>
      </c>
      <c r="R37" s="26">
        <v>2</v>
      </c>
    </row>
    <row r="38" spans="1:18" s="41" customFormat="1" ht="15.75">
      <c r="A38" s="36" t="s">
        <v>211</v>
      </c>
      <c r="B38" s="36" t="s">
        <v>19</v>
      </c>
      <c r="C38" s="67">
        <v>417</v>
      </c>
      <c r="D38" s="36">
        <v>411</v>
      </c>
      <c r="E38" s="36"/>
      <c r="F38" s="67">
        <v>431</v>
      </c>
      <c r="G38" s="36">
        <v>405</v>
      </c>
      <c r="H38" s="36">
        <v>392</v>
      </c>
      <c r="I38" s="36"/>
      <c r="J38" s="36"/>
      <c r="K38" s="36"/>
      <c r="L38" s="36"/>
      <c r="M38" s="67">
        <v>423</v>
      </c>
      <c r="N38" s="36">
        <f t="shared" si="2"/>
        <v>2479</v>
      </c>
      <c r="O38" s="36">
        <v>5</v>
      </c>
      <c r="P38" s="36">
        <v>3</v>
      </c>
      <c r="Q38" s="36">
        <v>61</v>
      </c>
      <c r="R38" s="36">
        <v>2</v>
      </c>
    </row>
    <row r="39" spans="1:18" s="104" customFormat="1" ht="15.75">
      <c r="A39" s="103" t="s">
        <v>212</v>
      </c>
      <c r="B39" s="103" t="s">
        <v>24</v>
      </c>
      <c r="N39" s="36"/>
      <c r="O39" s="103"/>
      <c r="P39" s="103"/>
      <c r="Q39" s="103"/>
      <c r="R39" s="103"/>
    </row>
    <row r="40" spans="1:18" s="41" customFormat="1" ht="15.75">
      <c r="A40" s="36" t="s">
        <v>213</v>
      </c>
      <c r="B40" s="36" t="s">
        <v>17</v>
      </c>
      <c r="C40" s="110">
        <v>400</v>
      </c>
      <c r="D40" s="110"/>
      <c r="E40" s="110"/>
      <c r="F40" s="111">
        <v>471</v>
      </c>
      <c r="G40" s="110">
        <v>401</v>
      </c>
      <c r="H40" s="111">
        <v>450</v>
      </c>
      <c r="I40" s="110"/>
      <c r="J40" s="110">
        <v>417</v>
      </c>
      <c r="K40" s="110"/>
      <c r="L40" s="110"/>
      <c r="M40" s="110">
        <v>416</v>
      </c>
      <c r="N40" s="36">
        <f t="shared" si="2"/>
        <v>2555</v>
      </c>
      <c r="O40" s="36">
        <v>4</v>
      </c>
      <c r="P40" s="36">
        <v>4</v>
      </c>
      <c r="Q40" s="36">
        <v>56</v>
      </c>
      <c r="R40" s="36">
        <v>1</v>
      </c>
    </row>
    <row r="41" spans="1:18" s="32" customFormat="1" ht="15.75">
      <c r="A41" s="26" t="s">
        <v>214</v>
      </c>
      <c r="B41" s="26" t="s">
        <v>15</v>
      </c>
      <c r="C41" s="26"/>
      <c r="D41" s="87">
        <v>436</v>
      </c>
      <c r="E41" s="26">
        <v>383</v>
      </c>
      <c r="F41" s="26">
        <v>392</v>
      </c>
      <c r="G41" s="26">
        <v>419</v>
      </c>
      <c r="H41" s="45">
        <v>431</v>
      </c>
      <c r="I41" s="26"/>
      <c r="J41" s="26"/>
      <c r="K41" s="26"/>
      <c r="L41" s="26"/>
      <c r="M41" s="87">
        <v>439</v>
      </c>
      <c r="N41" s="36">
        <f t="shared" si="2"/>
        <v>2500</v>
      </c>
      <c r="O41" s="26">
        <v>2</v>
      </c>
      <c r="P41" s="26">
        <v>6</v>
      </c>
      <c r="Q41" s="26">
        <v>-133</v>
      </c>
      <c r="R41" s="26">
        <v>0</v>
      </c>
    </row>
    <row r="42" spans="1:18" s="41" customFormat="1" ht="15.75">
      <c r="A42" s="36" t="s">
        <v>215</v>
      </c>
      <c r="B42" s="36" t="s">
        <v>16</v>
      </c>
      <c r="C42" s="67">
        <v>435</v>
      </c>
      <c r="D42" s="67">
        <v>448</v>
      </c>
      <c r="E42" s="36"/>
      <c r="F42" s="36">
        <v>410</v>
      </c>
      <c r="G42" s="67">
        <v>441</v>
      </c>
      <c r="H42" s="36">
        <v>375</v>
      </c>
      <c r="I42" s="36"/>
      <c r="J42" s="36"/>
      <c r="K42" s="36"/>
      <c r="L42" s="36"/>
      <c r="M42" s="67">
        <v>436</v>
      </c>
      <c r="N42" s="36">
        <f t="shared" si="2"/>
        <v>2545</v>
      </c>
      <c r="O42" s="36">
        <v>4</v>
      </c>
      <c r="P42" s="36">
        <v>4</v>
      </c>
      <c r="Q42" s="36">
        <v>-22</v>
      </c>
      <c r="R42" s="36">
        <v>1</v>
      </c>
    </row>
    <row r="43" spans="1:18" s="32" customFormat="1" ht="15.75">
      <c r="A43" s="26" t="s">
        <v>216</v>
      </c>
      <c r="B43" s="26" t="s">
        <v>28</v>
      </c>
      <c r="C43" s="87">
        <v>447</v>
      </c>
      <c r="D43" s="87">
        <v>448</v>
      </c>
      <c r="E43" s="26">
        <v>411</v>
      </c>
      <c r="F43" s="26">
        <v>420</v>
      </c>
      <c r="G43" s="26">
        <v>439</v>
      </c>
      <c r="H43" s="26"/>
      <c r="I43" s="26"/>
      <c r="J43" s="26"/>
      <c r="K43" s="26"/>
      <c r="L43" s="26"/>
      <c r="M43" s="87">
        <v>461</v>
      </c>
      <c r="N43" s="36">
        <f t="shared" si="2"/>
        <v>2626</v>
      </c>
      <c r="O43" s="26">
        <v>3</v>
      </c>
      <c r="P43" s="26">
        <v>5</v>
      </c>
      <c r="Q43" s="26">
        <v>-69</v>
      </c>
      <c r="R43" s="26">
        <v>0</v>
      </c>
    </row>
    <row r="44" spans="1:18" s="32" customFormat="1" ht="16.5" thickBot="1">
      <c r="A44" s="26" t="s">
        <v>217</v>
      </c>
      <c r="B44" s="26" t="s">
        <v>23</v>
      </c>
      <c r="C44" s="87">
        <v>432</v>
      </c>
      <c r="D44" s="87">
        <v>484</v>
      </c>
      <c r="E44" s="87">
        <v>443</v>
      </c>
      <c r="F44" s="26"/>
      <c r="G44" s="26"/>
      <c r="H44" s="26">
        <v>399</v>
      </c>
      <c r="I44" s="26"/>
      <c r="J44" s="26"/>
      <c r="K44" s="26"/>
      <c r="L44" s="26">
        <v>364</v>
      </c>
      <c r="M44" s="26">
        <v>409</v>
      </c>
      <c r="N44" s="36">
        <f t="shared" si="2"/>
        <v>2531</v>
      </c>
      <c r="O44" s="35">
        <v>3</v>
      </c>
      <c r="P44" s="35">
        <v>5</v>
      </c>
      <c r="Q44" s="35">
        <v>-32</v>
      </c>
      <c r="R44" s="35">
        <v>0</v>
      </c>
    </row>
    <row r="45" spans="15:18" ht="16.5" thickTop="1">
      <c r="O45" s="1">
        <f>SUM(O30:O44)</f>
        <v>49</v>
      </c>
      <c r="P45" s="1">
        <f>SUM(P30:P44)</f>
        <v>63</v>
      </c>
      <c r="Q45" s="1">
        <f>SUM(Q30:Q44)</f>
        <v>-43</v>
      </c>
      <c r="R45" s="1">
        <f>SUM(R30:R44)</f>
        <v>10</v>
      </c>
    </row>
  </sheetData>
  <mergeCells count="9">
    <mergeCell ref="L25:M25"/>
    <mergeCell ref="I24:J24"/>
    <mergeCell ref="C23:D23"/>
    <mergeCell ref="C24:D24"/>
    <mergeCell ref="L24:M24"/>
    <mergeCell ref="C1:M1"/>
    <mergeCell ref="O1:P1"/>
    <mergeCell ref="C22:D22"/>
    <mergeCell ref="O19:P19"/>
  </mergeCells>
  <printOptions/>
  <pageMargins left="0.75" right="0.75" top="1" bottom="1" header="0.5" footer="0.5"/>
  <pageSetup horizontalDpi="600" verticalDpi="600" orientation="portrait" paperSize="9" r:id="rId1"/>
  <ignoredErrors>
    <ignoredError sqref="E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9" zoomScaleNormal="89" workbookViewId="0" topLeftCell="A1">
      <selection activeCell="P44" sqref="P44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10" width="9.125" style="1" customWidth="1"/>
    <col min="11" max="11" width="11.25390625" style="1" customWidth="1"/>
    <col min="12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25390625" style="1" customWidth="1"/>
    <col min="19" max="19" width="15.75390625" style="0" bestFit="1" customWidth="1"/>
  </cols>
  <sheetData>
    <row r="1" spans="3:20" ht="15.75">
      <c r="C1" s="118" t="s">
        <v>32</v>
      </c>
      <c r="D1" s="118"/>
      <c r="E1" s="118"/>
      <c r="F1" s="118"/>
      <c r="G1" s="118"/>
      <c r="H1" s="118"/>
      <c r="I1" s="118"/>
      <c r="J1" s="118"/>
      <c r="K1" s="118"/>
      <c r="L1" s="118"/>
      <c r="N1" s="118" t="s">
        <v>37</v>
      </c>
      <c r="O1" s="118"/>
      <c r="R1" s="2"/>
      <c r="S1" s="2"/>
      <c r="T1" s="2"/>
    </row>
    <row r="2" spans="2:17" ht="32.25" thickBot="1">
      <c r="B2" s="3" t="s">
        <v>30</v>
      </c>
      <c r="C2" s="13" t="s">
        <v>112</v>
      </c>
      <c r="D2" s="13" t="s">
        <v>113</v>
      </c>
      <c r="E2" s="13" t="s">
        <v>114</v>
      </c>
      <c r="F2" s="13" t="s">
        <v>115</v>
      </c>
      <c r="G2" s="13" t="s">
        <v>116</v>
      </c>
      <c r="H2" s="13" t="s">
        <v>117</v>
      </c>
      <c r="I2" s="13" t="s">
        <v>119</v>
      </c>
      <c r="J2" s="13" t="s">
        <v>141</v>
      </c>
      <c r="K2" s="13" t="s">
        <v>142</v>
      </c>
      <c r="L2" s="13"/>
      <c r="M2" s="3" t="s">
        <v>39</v>
      </c>
      <c r="N2" s="3" t="s">
        <v>18</v>
      </c>
      <c r="O2" s="3" t="s">
        <v>38</v>
      </c>
      <c r="P2" s="3" t="s">
        <v>40</v>
      </c>
      <c r="Q2" s="15" t="s">
        <v>143</v>
      </c>
    </row>
    <row r="3" spans="1:17" s="41" customFormat="1" ht="15.75">
      <c r="A3" s="36" t="s">
        <v>0</v>
      </c>
      <c r="B3" s="36" t="s">
        <v>29</v>
      </c>
      <c r="C3" s="72">
        <v>443</v>
      </c>
      <c r="D3" s="72">
        <v>449</v>
      </c>
      <c r="E3" s="64"/>
      <c r="F3" s="59">
        <v>408</v>
      </c>
      <c r="G3" s="72">
        <v>461</v>
      </c>
      <c r="H3" s="59">
        <v>386</v>
      </c>
      <c r="I3" s="59">
        <v>393</v>
      </c>
      <c r="J3" s="59"/>
      <c r="K3" s="59"/>
      <c r="L3" s="54"/>
      <c r="M3" s="39">
        <f>SUM(C3:L3)</f>
        <v>2540</v>
      </c>
      <c r="N3" s="36">
        <v>5</v>
      </c>
      <c r="O3" s="36">
        <v>3</v>
      </c>
      <c r="P3" s="36">
        <v>35</v>
      </c>
      <c r="Q3" s="36">
        <v>2</v>
      </c>
    </row>
    <row r="4" spans="1:17" s="32" customFormat="1" ht="15.75">
      <c r="A4" s="26" t="s">
        <v>1</v>
      </c>
      <c r="B4" s="26" t="s">
        <v>31</v>
      </c>
      <c r="C4" s="66">
        <v>454</v>
      </c>
      <c r="D4" s="62">
        <v>419</v>
      </c>
      <c r="E4" s="62">
        <v>368</v>
      </c>
      <c r="F4" s="66">
        <v>428</v>
      </c>
      <c r="G4" s="58">
        <v>418</v>
      </c>
      <c r="H4" s="58">
        <v>421</v>
      </c>
      <c r="I4" s="58"/>
      <c r="J4" s="58"/>
      <c r="K4" s="58"/>
      <c r="L4" s="49"/>
      <c r="M4" s="30">
        <f aca="true" t="shared" si="0" ref="M4:M17">SUM(C4:L4)</f>
        <v>2508</v>
      </c>
      <c r="N4" s="26">
        <v>2</v>
      </c>
      <c r="O4" s="26">
        <v>6</v>
      </c>
      <c r="P4" s="26">
        <v>-176</v>
      </c>
      <c r="Q4" s="26">
        <v>0</v>
      </c>
    </row>
    <row r="5" spans="1:17" s="41" customFormat="1" ht="15.75">
      <c r="A5" s="36" t="s">
        <v>2</v>
      </c>
      <c r="B5" s="36" t="s">
        <v>23</v>
      </c>
      <c r="C5" s="72">
        <v>495</v>
      </c>
      <c r="D5" s="72">
        <v>514</v>
      </c>
      <c r="E5" s="64"/>
      <c r="F5" s="59">
        <v>424</v>
      </c>
      <c r="G5" s="72">
        <v>469</v>
      </c>
      <c r="H5" s="72">
        <v>447</v>
      </c>
      <c r="I5" s="59">
        <v>383</v>
      </c>
      <c r="J5" s="59"/>
      <c r="K5" s="59"/>
      <c r="L5" s="54"/>
      <c r="M5" s="39">
        <f t="shared" si="0"/>
        <v>2732</v>
      </c>
      <c r="N5" s="36">
        <v>6</v>
      </c>
      <c r="O5" s="36">
        <v>2</v>
      </c>
      <c r="P5" s="36">
        <v>213</v>
      </c>
      <c r="Q5" s="36">
        <v>2</v>
      </c>
    </row>
    <row r="6" spans="1:17" s="41" customFormat="1" ht="15.75">
      <c r="A6" s="36" t="s">
        <v>3</v>
      </c>
      <c r="B6" s="36" t="s">
        <v>26</v>
      </c>
      <c r="C6" s="64">
        <v>396</v>
      </c>
      <c r="D6" s="72">
        <v>480</v>
      </c>
      <c r="E6" s="64"/>
      <c r="F6" s="59">
        <v>409</v>
      </c>
      <c r="G6" s="59">
        <v>369</v>
      </c>
      <c r="H6" s="59">
        <v>415</v>
      </c>
      <c r="I6" s="59">
        <v>410</v>
      </c>
      <c r="J6" s="59"/>
      <c r="K6" s="59"/>
      <c r="L6" s="54"/>
      <c r="M6" s="39">
        <f t="shared" si="0"/>
        <v>2479</v>
      </c>
      <c r="N6" s="36">
        <v>1</v>
      </c>
      <c r="O6" s="36">
        <v>7</v>
      </c>
      <c r="P6" s="36">
        <v>-140</v>
      </c>
      <c r="Q6" s="36">
        <v>0</v>
      </c>
    </row>
    <row r="7" spans="1:17" s="32" customFormat="1" ht="15.75">
      <c r="A7" s="26" t="s">
        <v>4</v>
      </c>
      <c r="B7" s="26" t="s">
        <v>27</v>
      </c>
      <c r="C7" s="66">
        <v>453</v>
      </c>
      <c r="D7" s="66">
        <v>452</v>
      </c>
      <c r="E7" s="62">
        <v>341</v>
      </c>
      <c r="F7" s="66">
        <v>440</v>
      </c>
      <c r="G7" s="66">
        <v>458</v>
      </c>
      <c r="H7" s="58">
        <v>394</v>
      </c>
      <c r="I7" s="58"/>
      <c r="J7" s="58"/>
      <c r="K7" s="58"/>
      <c r="L7" s="49"/>
      <c r="M7" s="30">
        <f t="shared" si="0"/>
        <v>2538</v>
      </c>
      <c r="N7" s="26">
        <v>4</v>
      </c>
      <c r="O7" s="26">
        <v>4</v>
      </c>
      <c r="P7" s="26">
        <v>-41</v>
      </c>
      <c r="Q7" s="26">
        <v>1</v>
      </c>
    </row>
    <row r="8" spans="1:17" s="41" customFormat="1" ht="15.75">
      <c r="A8" s="36" t="s">
        <v>5</v>
      </c>
      <c r="B8" s="36" t="s">
        <v>20</v>
      </c>
      <c r="C8" s="64">
        <v>413</v>
      </c>
      <c r="D8" s="72">
        <v>476</v>
      </c>
      <c r="E8" s="64"/>
      <c r="F8" s="72">
        <v>426</v>
      </c>
      <c r="G8" s="72">
        <v>429</v>
      </c>
      <c r="H8" s="59">
        <v>407</v>
      </c>
      <c r="I8" s="59">
        <v>414</v>
      </c>
      <c r="J8" s="59"/>
      <c r="K8" s="59"/>
      <c r="L8" s="54"/>
      <c r="M8" s="39">
        <f t="shared" si="0"/>
        <v>2565</v>
      </c>
      <c r="N8" s="36">
        <v>5</v>
      </c>
      <c r="O8" s="36">
        <v>3</v>
      </c>
      <c r="P8" s="39">
        <f>M8-2499</f>
        <v>66</v>
      </c>
      <c r="Q8" s="36">
        <v>2</v>
      </c>
    </row>
    <row r="9" spans="1:17" s="32" customFormat="1" ht="15.75">
      <c r="A9" s="26" t="s">
        <v>6</v>
      </c>
      <c r="B9" s="26" t="s">
        <v>28</v>
      </c>
      <c r="C9" s="66">
        <v>452</v>
      </c>
      <c r="D9" s="66">
        <v>455</v>
      </c>
      <c r="E9" s="62"/>
      <c r="F9" s="58">
        <v>427</v>
      </c>
      <c r="G9" s="66">
        <v>435</v>
      </c>
      <c r="H9" s="58">
        <v>413</v>
      </c>
      <c r="I9" s="58">
        <v>413</v>
      </c>
      <c r="J9" s="58"/>
      <c r="K9" s="58"/>
      <c r="L9" s="49"/>
      <c r="M9" s="30">
        <f t="shared" si="0"/>
        <v>2595</v>
      </c>
      <c r="N9" s="26">
        <v>5</v>
      </c>
      <c r="O9" s="26">
        <v>3</v>
      </c>
      <c r="P9" s="26">
        <v>5</v>
      </c>
      <c r="Q9" s="26">
        <v>2</v>
      </c>
    </row>
    <row r="10" spans="1:17" s="41" customFormat="1" ht="15.75">
      <c r="A10" s="36" t="s">
        <v>7</v>
      </c>
      <c r="B10" s="36" t="s">
        <v>16</v>
      </c>
      <c r="C10" s="64">
        <v>440</v>
      </c>
      <c r="D10" s="72">
        <v>471</v>
      </c>
      <c r="E10" s="64"/>
      <c r="F10" s="59">
        <v>426</v>
      </c>
      <c r="G10" s="59">
        <v>435</v>
      </c>
      <c r="H10" s="59">
        <v>392</v>
      </c>
      <c r="I10" s="59">
        <v>414</v>
      </c>
      <c r="J10" s="59"/>
      <c r="K10" s="59"/>
      <c r="L10" s="54"/>
      <c r="M10" s="39">
        <f t="shared" si="0"/>
        <v>2578</v>
      </c>
      <c r="N10" s="36">
        <v>1</v>
      </c>
      <c r="O10" s="36">
        <v>7</v>
      </c>
      <c r="P10" s="36">
        <v>-83</v>
      </c>
      <c r="Q10" s="36">
        <v>0</v>
      </c>
    </row>
    <row r="11" spans="1:17" s="32" customFormat="1" ht="15.75">
      <c r="A11" s="26" t="s">
        <v>8</v>
      </c>
      <c r="B11" s="26" t="s">
        <v>15</v>
      </c>
      <c r="C11" s="66">
        <v>408</v>
      </c>
      <c r="D11" s="66">
        <v>466</v>
      </c>
      <c r="E11" s="62"/>
      <c r="F11" s="66">
        <v>423</v>
      </c>
      <c r="G11" s="66">
        <v>419</v>
      </c>
      <c r="H11" s="58">
        <v>362</v>
      </c>
      <c r="I11" s="58">
        <v>392</v>
      </c>
      <c r="J11" s="58"/>
      <c r="K11" s="58"/>
      <c r="L11" s="49"/>
      <c r="M11" s="30">
        <f t="shared" si="0"/>
        <v>2470</v>
      </c>
      <c r="N11" s="26">
        <v>6</v>
      </c>
      <c r="O11" s="26">
        <v>2</v>
      </c>
      <c r="P11" s="30">
        <v>121</v>
      </c>
      <c r="Q11" s="26">
        <v>2</v>
      </c>
    </row>
    <row r="12" spans="1:17" s="41" customFormat="1" ht="15.75">
      <c r="A12" s="36" t="s">
        <v>9</v>
      </c>
      <c r="B12" s="36" t="s">
        <v>17</v>
      </c>
      <c r="C12" s="72">
        <v>417</v>
      </c>
      <c r="D12" s="72">
        <v>482</v>
      </c>
      <c r="E12" s="64"/>
      <c r="F12" s="72">
        <v>451</v>
      </c>
      <c r="G12" s="59">
        <v>375</v>
      </c>
      <c r="H12" s="59">
        <v>385</v>
      </c>
      <c r="I12" s="59">
        <v>400</v>
      </c>
      <c r="J12" s="59"/>
      <c r="K12" s="59"/>
      <c r="L12" s="54"/>
      <c r="M12" s="39">
        <f t="shared" si="0"/>
        <v>2510</v>
      </c>
      <c r="N12" s="36">
        <v>3</v>
      </c>
      <c r="O12" s="36">
        <v>5</v>
      </c>
      <c r="P12" s="36">
        <v>-66</v>
      </c>
      <c r="Q12" s="36">
        <v>0</v>
      </c>
    </row>
    <row r="13" spans="1:17" s="57" customFormat="1" ht="15.75">
      <c r="A13" s="1" t="s">
        <v>10</v>
      </c>
      <c r="B13" s="21" t="s">
        <v>24</v>
      </c>
      <c r="C13" s="73"/>
      <c r="D13" s="65"/>
      <c r="E13" s="65"/>
      <c r="F13" s="73"/>
      <c r="G13" s="73"/>
      <c r="H13" s="73"/>
      <c r="I13" s="73"/>
      <c r="J13" s="73"/>
      <c r="K13" s="73"/>
      <c r="L13" s="18"/>
      <c r="M13" s="7">
        <f t="shared" si="0"/>
        <v>0</v>
      </c>
      <c r="N13" s="1"/>
      <c r="O13" s="1"/>
      <c r="P13" s="1"/>
      <c r="Q13" s="1"/>
    </row>
    <row r="14" spans="1:17" s="41" customFormat="1" ht="15.75">
      <c r="A14" s="36" t="s">
        <v>11</v>
      </c>
      <c r="B14" s="36" t="s">
        <v>19</v>
      </c>
      <c r="C14" s="72">
        <v>426</v>
      </c>
      <c r="D14" s="72">
        <v>465</v>
      </c>
      <c r="E14" s="64"/>
      <c r="F14" s="59">
        <v>408</v>
      </c>
      <c r="G14" s="72">
        <v>433</v>
      </c>
      <c r="H14" s="72">
        <v>420</v>
      </c>
      <c r="I14" s="72">
        <v>410</v>
      </c>
      <c r="J14" s="59"/>
      <c r="K14" s="59"/>
      <c r="L14" s="54"/>
      <c r="M14" s="39">
        <f t="shared" si="0"/>
        <v>2562</v>
      </c>
      <c r="N14" s="36">
        <v>7</v>
      </c>
      <c r="O14" s="36">
        <v>1</v>
      </c>
      <c r="P14" s="36">
        <v>206</v>
      </c>
      <c r="Q14" s="36">
        <v>2</v>
      </c>
    </row>
    <row r="15" spans="1:17" s="32" customFormat="1" ht="15.75">
      <c r="A15" s="26" t="s">
        <v>12</v>
      </c>
      <c r="B15" s="26" t="s">
        <v>21</v>
      </c>
      <c r="C15" s="66">
        <v>453</v>
      </c>
      <c r="D15" s="66">
        <v>464</v>
      </c>
      <c r="E15" s="62"/>
      <c r="F15" s="66">
        <v>467</v>
      </c>
      <c r="G15" s="66">
        <v>443</v>
      </c>
      <c r="H15" s="58">
        <v>395</v>
      </c>
      <c r="I15" s="58">
        <v>427</v>
      </c>
      <c r="J15" s="58"/>
      <c r="K15" s="58"/>
      <c r="L15" s="49"/>
      <c r="M15" s="30">
        <f t="shared" si="0"/>
        <v>2649</v>
      </c>
      <c r="N15" s="26">
        <v>6</v>
      </c>
      <c r="O15" s="26">
        <v>2</v>
      </c>
      <c r="P15" s="30">
        <f>M15-2426</f>
        <v>223</v>
      </c>
      <c r="Q15" s="26">
        <v>2</v>
      </c>
    </row>
    <row r="16" spans="1:17" s="41" customFormat="1" ht="15.75">
      <c r="A16" s="36" t="s">
        <v>13</v>
      </c>
      <c r="B16" s="36" t="s">
        <v>33</v>
      </c>
      <c r="C16" s="72">
        <v>422</v>
      </c>
      <c r="D16" s="72">
        <v>431</v>
      </c>
      <c r="E16" s="64"/>
      <c r="F16" s="72">
        <v>439</v>
      </c>
      <c r="G16" s="59">
        <v>413</v>
      </c>
      <c r="H16" s="59">
        <v>395</v>
      </c>
      <c r="I16" s="59">
        <v>405</v>
      </c>
      <c r="J16" s="59"/>
      <c r="K16" s="59"/>
      <c r="L16" s="54"/>
      <c r="M16" s="39">
        <f t="shared" si="0"/>
        <v>2505</v>
      </c>
      <c r="N16" s="36">
        <v>5</v>
      </c>
      <c r="O16" s="36">
        <v>3</v>
      </c>
      <c r="P16" s="39">
        <f>M16-2453</f>
        <v>52</v>
      </c>
      <c r="Q16" s="36">
        <v>2</v>
      </c>
    </row>
    <row r="17" spans="1:17" s="32" customFormat="1" ht="16.5" thickBot="1">
      <c r="A17" s="26" t="s">
        <v>14</v>
      </c>
      <c r="B17" s="26" t="s">
        <v>25</v>
      </c>
      <c r="C17" s="101">
        <v>447</v>
      </c>
      <c r="D17" s="101">
        <v>454</v>
      </c>
      <c r="E17" s="69"/>
      <c r="F17" s="101">
        <v>433</v>
      </c>
      <c r="G17" s="69">
        <v>389</v>
      </c>
      <c r="H17" s="69">
        <v>393</v>
      </c>
      <c r="I17" s="101">
        <v>415</v>
      </c>
      <c r="J17" s="69"/>
      <c r="K17" s="69"/>
      <c r="L17" s="70"/>
      <c r="M17" s="74">
        <f t="shared" si="0"/>
        <v>2531</v>
      </c>
      <c r="N17" s="35">
        <v>6</v>
      </c>
      <c r="O17" s="35">
        <v>2</v>
      </c>
      <c r="P17" s="35">
        <v>170</v>
      </c>
      <c r="Q17" s="35">
        <v>2</v>
      </c>
    </row>
    <row r="18" spans="3:12" ht="16.5" thickTop="1">
      <c r="C18" s="7">
        <f>SUM(C3:C17)</f>
        <v>6119</v>
      </c>
      <c r="D18" s="7">
        <f aca="true" t="shared" si="1" ref="D18:L18">SUM(D3:D17)</f>
        <v>6478</v>
      </c>
      <c r="E18" s="7">
        <f>SUM(E3:E17)</f>
        <v>709</v>
      </c>
      <c r="F18" s="7">
        <f t="shared" si="1"/>
        <v>6009</v>
      </c>
      <c r="G18" s="7">
        <f t="shared" si="1"/>
        <v>5946</v>
      </c>
      <c r="H18" s="7">
        <f t="shared" si="1"/>
        <v>5625</v>
      </c>
      <c r="I18" s="7">
        <f t="shared" si="1"/>
        <v>4876</v>
      </c>
      <c r="J18" s="7">
        <f t="shared" si="1"/>
        <v>0</v>
      </c>
      <c r="K18" s="7">
        <f t="shared" si="1"/>
        <v>0</v>
      </c>
      <c r="L18" s="7">
        <f t="shared" si="1"/>
        <v>0</v>
      </c>
    </row>
    <row r="19" spans="2:19" ht="35.25" customHeight="1">
      <c r="B19" s="16" t="s">
        <v>163</v>
      </c>
      <c r="C19" s="22">
        <f>C18/14</f>
        <v>437.07142857142856</v>
      </c>
      <c r="D19" s="22">
        <f>D18/14</f>
        <v>462.7142857142857</v>
      </c>
      <c r="E19" s="22">
        <f>E18/2</f>
        <v>354.5</v>
      </c>
      <c r="F19" s="22">
        <f>F18/14</f>
        <v>429.2142857142857</v>
      </c>
      <c r="G19" s="22">
        <f>G18/14</f>
        <v>424.7142857142857</v>
      </c>
      <c r="H19" s="22">
        <f>H18/14</f>
        <v>401.7857142857143</v>
      </c>
      <c r="I19" s="22">
        <f>I18/12</f>
        <v>406.3333333333333</v>
      </c>
      <c r="J19" s="22"/>
      <c r="K19" s="22"/>
      <c r="L19" s="22"/>
      <c r="M19" s="3" t="s">
        <v>39</v>
      </c>
      <c r="N19" s="118" t="s">
        <v>144</v>
      </c>
      <c r="O19" s="118"/>
      <c r="P19" s="3" t="s">
        <v>40</v>
      </c>
      <c r="Q19" s="15" t="s">
        <v>145</v>
      </c>
      <c r="S19" s="19" t="s">
        <v>159</v>
      </c>
    </row>
    <row r="20" spans="13:19" ht="15.75">
      <c r="M20" s="7">
        <f>SUM(M3:M17)</f>
        <v>35762</v>
      </c>
      <c r="N20" s="1">
        <f>SUM(N3:N17)</f>
        <v>62</v>
      </c>
      <c r="O20" s="1">
        <f>SUM(O3:O17)</f>
        <v>50</v>
      </c>
      <c r="P20" s="1">
        <f>SUM(P3:P17)</f>
        <v>585</v>
      </c>
      <c r="Q20" s="1">
        <f>SUM(Q3:Q17)</f>
        <v>19</v>
      </c>
      <c r="S20" s="2">
        <f>N20-O20</f>
        <v>12</v>
      </c>
    </row>
    <row r="21" spans="3:4" ht="15.75">
      <c r="C21" s="119" t="s">
        <v>52</v>
      </c>
      <c r="D21" s="119"/>
    </row>
    <row r="22" spans="3:14" ht="15.75">
      <c r="C22" s="116" t="s">
        <v>168</v>
      </c>
      <c r="D22" s="116"/>
      <c r="M22" s="1" t="s">
        <v>164</v>
      </c>
      <c r="N22" s="24">
        <f>SUM(M3:M17)/14</f>
        <v>2554.4285714285716</v>
      </c>
    </row>
    <row r="23" spans="3:4" ht="15.75">
      <c r="C23" s="117" t="s">
        <v>169</v>
      </c>
      <c r="D23" s="117"/>
    </row>
    <row r="24" spans="9:13" ht="15.75">
      <c r="I24" s="120" t="s">
        <v>199</v>
      </c>
      <c r="J24" s="120"/>
      <c r="K24" s="16" t="s">
        <v>200</v>
      </c>
      <c r="L24" s="120" t="s">
        <v>159</v>
      </c>
      <c r="M24" s="120"/>
    </row>
    <row r="25" spans="1:13" ht="15.75">
      <c r="A25" s="92" t="s">
        <v>183</v>
      </c>
      <c r="B25" s="86"/>
      <c r="C25" s="73" t="s">
        <v>187</v>
      </c>
      <c r="D25" s="86" t="s">
        <v>188</v>
      </c>
      <c r="E25" s="93" t="s">
        <v>182</v>
      </c>
      <c r="I25" s="1">
        <f>N20+N45</f>
        <v>119</v>
      </c>
      <c r="J25" s="1">
        <f>O20+O45</f>
        <v>105</v>
      </c>
      <c r="K25" s="1">
        <f>Q20+Q45</f>
        <v>34</v>
      </c>
      <c r="L25" s="115">
        <f>I25-J25</f>
        <v>14</v>
      </c>
      <c r="M25" s="115"/>
    </row>
    <row r="26" ht="15.75">
      <c r="F26" s="86"/>
    </row>
    <row r="27" ht="15.75">
      <c r="F27" s="86"/>
    </row>
    <row r="29" spans="2:17" ht="32.25" thickBot="1">
      <c r="B29" s="3" t="s">
        <v>30</v>
      </c>
      <c r="C29" s="13" t="s">
        <v>112</v>
      </c>
      <c r="D29" s="13" t="s">
        <v>113</v>
      </c>
      <c r="E29" s="13" t="s">
        <v>114</v>
      </c>
      <c r="F29" s="13" t="s">
        <v>115</v>
      </c>
      <c r="G29" s="13" t="s">
        <v>116</v>
      </c>
      <c r="H29" s="13" t="s">
        <v>117</v>
      </c>
      <c r="I29" s="13" t="s">
        <v>119</v>
      </c>
      <c r="J29" s="13" t="s">
        <v>141</v>
      </c>
      <c r="K29" s="13" t="s">
        <v>142</v>
      </c>
      <c r="L29" s="13"/>
      <c r="M29" s="3" t="s">
        <v>39</v>
      </c>
      <c r="N29" s="3" t="s">
        <v>18</v>
      </c>
      <c r="O29" s="3" t="s">
        <v>38</v>
      </c>
      <c r="P29" s="3" t="s">
        <v>40</v>
      </c>
      <c r="Q29" s="15" t="s">
        <v>143</v>
      </c>
    </row>
    <row r="30" spans="1:17" s="32" customFormat="1" ht="15.75">
      <c r="A30" s="26" t="s">
        <v>198</v>
      </c>
      <c r="B30" s="26" t="s">
        <v>16</v>
      </c>
      <c r="C30" s="87">
        <v>431</v>
      </c>
      <c r="D30" s="87">
        <v>455</v>
      </c>
      <c r="E30" s="26"/>
      <c r="F30" s="26">
        <v>415</v>
      </c>
      <c r="G30" s="87">
        <v>443</v>
      </c>
      <c r="H30" s="26">
        <v>385</v>
      </c>
      <c r="I30" s="26">
        <v>406</v>
      </c>
      <c r="J30" s="26"/>
      <c r="K30" s="26"/>
      <c r="L30" s="26"/>
      <c r="M30" s="26">
        <f>SUM(C30:L30)</f>
        <v>2535</v>
      </c>
      <c r="N30" s="26">
        <v>3</v>
      </c>
      <c r="O30" s="26">
        <v>5</v>
      </c>
      <c r="P30" s="26">
        <v>-15</v>
      </c>
      <c r="Q30" s="26">
        <v>0</v>
      </c>
    </row>
    <row r="31" spans="1:17" s="41" customFormat="1" ht="15.75">
      <c r="A31" s="36" t="s">
        <v>202</v>
      </c>
      <c r="B31" s="36" t="s">
        <v>28</v>
      </c>
      <c r="C31" s="36">
        <v>430</v>
      </c>
      <c r="D31" s="67">
        <v>458</v>
      </c>
      <c r="E31" s="36"/>
      <c r="F31" s="36">
        <v>412</v>
      </c>
      <c r="G31" s="36">
        <v>406</v>
      </c>
      <c r="H31" s="36">
        <v>391</v>
      </c>
      <c r="I31" s="36">
        <v>397</v>
      </c>
      <c r="J31" s="36"/>
      <c r="K31" s="36"/>
      <c r="L31" s="36"/>
      <c r="M31" s="36">
        <f>SUM(C31:L31)</f>
        <v>2494</v>
      </c>
      <c r="N31" s="36">
        <v>1</v>
      </c>
      <c r="O31" s="36">
        <v>7</v>
      </c>
      <c r="P31" s="36">
        <f>M31-2691</f>
        <v>-197</v>
      </c>
      <c r="Q31" s="36">
        <v>0</v>
      </c>
    </row>
    <row r="32" spans="1:17" s="32" customFormat="1" ht="15.75">
      <c r="A32" s="26" t="s">
        <v>204</v>
      </c>
      <c r="B32" s="26" t="s">
        <v>20</v>
      </c>
      <c r="C32" s="87">
        <v>421</v>
      </c>
      <c r="D32" s="87">
        <v>444</v>
      </c>
      <c r="E32" s="26"/>
      <c r="F32" s="26">
        <v>390</v>
      </c>
      <c r="G32" s="87">
        <v>412</v>
      </c>
      <c r="H32" s="26">
        <v>401</v>
      </c>
      <c r="I32" s="87">
        <v>429</v>
      </c>
      <c r="J32" s="26"/>
      <c r="K32" s="26"/>
      <c r="L32" s="26"/>
      <c r="M32" s="26">
        <f>SUM(C32:L32)</f>
        <v>2497</v>
      </c>
      <c r="N32" s="26">
        <v>6</v>
      </c>
      <c r="O32" s="26">
        <v>2</v>
      </c>
      <c r="P32" s="26">
        <v>104</v>
      </c>
      <c r="Q32" s="26">
        <v>2</v>
      </c>
    </row>
    <row r="33" spans="1:17" s="41" customFormat="1" ht="15.75">
      <c r="A33" s="36" t="s">
        <v>205</v>
      </c>
      <c r="B33" s="36" t="s">
        <v>27</v>
      </c>
      <c r="C33" s="36">
        <v>417</v>
      </c>
      <c r="D33" s="67">
        <v>457</v>
      </c>
      <c r="E33" s="36"/>
      <c r="F33" s="36">
        <v>375</v>
      </c>
      <c r="G33" s="67">
        <v>419</v>
      </c>
      <c r="H33" s="36">
        <v>409</v>
      </c>
      <c r="I33" s="67">
        <v>425</v>
      </c>
      <c r="J33" s="36"/>
      <c r="K33" s="36"/>
      <c r="L33" s="36"/>
      <c r="M33" s="36">
        <f>SUM(C33:L33)</f>
        <v>2502</v>
      </c>
      <c r="N33" s="36">
        <v>5</v>
      </c>
      <c r="O33" s="36">
        <v>3</v>
      </c>
      <c r="P33" s="36">
        <v>2</v>
      </c>
      <c r="Q33" s="36">
        <v>2</v>
      </c>
    </row>
    <row r="34" spans="1:17" s="32" customFormat="1" ht="15.75">
      <c r="A34" s="26" t="s">
        <v>207</v>
      </c>
      <c r="B34" s="26" t="s">
        <v>41</v>
      </c>
      <c r="C34" s="26">
        <v>403</v>
      </c>
      <c r="D34" s="87">
        <v>478</v>
      </c>
      <c r="E34" s="26"/>
      <c r="F34" s="87">
        <v>425</v>
      </c>
      <c r="G34" s="26">
        <v>409</v>
      </c>
      <c r="H34" s="26">
        <v>400</v>
      </c>
      <c r="I34" s="87">
        <v>429</v>
      </c>
      <c r="J34" s="26"/>
      <c r="K34" s="26"/>
      <c r="L34" s="26"/>
      <c r="M34" s="26">
        <f>SUM(C34:L34)</f>
        <v>2544</v>
      </c>
      <c r="N34" s="26">
        <v>5</v>
      </c>
      <c r="O34" s="26">
        <v>3</v>
      </c>
      <c r="P34" s="26">
        <v>32</v>
      </c>
      <c r="Q34" s="26">
        <v>2</v>
      </c>
    </row>
    <row r="35" spans="1:17" s="32" customFormat="1" ht="15.75">
      <c r="A35" s="26" t="s">
        <v>208</v>
      </c>
      <c r="B35" s="26" t="s">
        <v>23</v>
      </c>
      <c r="C35" s="26">
        <v>412</v>
      </c>
      <c r="D35" s="87">
        <v>482</v>
      </c>
      <c r="E35" s="26"/>
      <c r="F35" s="26">
        <v>403</v>
      </c>
      <c r="G35" s="87">
        <v>430</v>
      </c>
      <c r="H35" s="26">
        <v>375</v>
      </c>
      <c r="I35" s="26">
        <v>375</v>
      </c>
      <c r="J35" s="26"/>
      <c r="K35" s="26"/>
      <c r="L35" s="26"/>
      <c r="M35" s="26">
        <f aca="true" t="shared" si="2" ref="M35:M44">SUM(C35:L35)</f>
        <v>2477</v>
      </c>
      <c r="N35" s="26">
        <v>2</v>
      </c>
      <c r="O35" s="26">
        <v>6</v>
      </c>
      <c r="P35" s="26">
        <f>M35-2560</f>
        <v>-83</v>
      </c>
      <c r="Q35" s="26">
        <v>0</v>
      </c>
    </row>
    <row r="36" spans="1:17" s="41" customFormat="1" ht="15.75">
      <c r="A36" s="36" t="s">
        <v>209</v>
      </c>
      <c r="B36" s="36" t="s">
        <v>31</v>
      </c>
      <c r="C36" s="67">
        <v>458</v>
      </c>
      <c r="D36" s="67">
        <v>490</v>
      </c>
      <c r="E36" s="36"/>
      <c r="F36" s="36">
        <v>368</v>
      </c>
      <c r="G36" s="36">
        <v>408</v>
      </c>
      <c r="H36" s="36">
        <v>415</v>
      </c>
      <c r="I36" s="67">
        <v>422</v>
      </c>
      <c r="J36" s="36"/>
      <c r="K36" s="36"/>
      <c r="L36" s="36"/>
      <c r="M36" s="36">
        <f t="shared" si="2"/>
        <v>2561</v>
      </c>
      <c r="N36" s="36">
        <v>3</v>
      </c>
      <c r="O36" s="36">
        <v>5</v>
      </c>
      <c r="P36" s="36">
        <v>-21</v>
      </c>
      <c r="Q36" s="36">
        <v>0</v>
      </c>
    </row>
    <row r="37" spans="1:17" s="32" customFormat="1" ht="15.75">
      <c r="A37" s="26" t="s">
        <v>210</v>
      </c>
      <c r="B37" s="26" t="s">
        <v>29</v>
      </c>
      <c r="C37" s="87">
        <v>432</v>
      </c>
      <c r="D37" s="87">
        <v>441</v>
      </c>
      <c r="E37" s="26"/>
      <c r="F37" s="26">
        <v>380</v>
      </c>
      <c r="G37" s="26">
        <v>379</v>
      </c>
      <c r="H37" s="26">
        <v>362</v>
      </c>
      <c r="I37" s="26">
        <v>394</v>
      </c>
      <c r="J37" s="26"/>
      <c r="K37" s="26"/>
      <c r="L37" s="26"/>
      <c r="M37" s="26">
        <f t="shared" si="2"/>
        <v>2388</v>
      </c>
      <c r="N37" s="26">
        <v>2</v>
      </c>
      <c r="O37" s="26">
        <v>6</v>
      </c>
      <c r="P37" s="26">
        <v>-176</v>
      </c>
      <c r="Q37" s="26">
        <v>0</v>
      </c>
    </row>
    <row r="38" spans="1:17" s="41" customFormat="1" ht="15.75">
      <c r="A38" s="36" t="s">
        <v>211</v>
      </c>
      <c r="B38" s="36" t="s">
        <v>25</v>
      </c>
      <c r="C38" s="67">
        <v>445</v>
      </c>
      <c r="D38" s="67">
        <v>462</v>
      </c>
      <c r="E38" s="36">
        <v>343</v>
      </c>
      <c r="F38" s="36">
        <v>377</v>
      </c>
      <c r="G38" s="36"/>
      <c r="H38" s="36">
        <v>387</v>
      </c>
      <c r="I38" s="67">
        <v>410</v>
      </c>
      <c r="J38" s="36"/>
      <c r="K38" s="36"/>
      <c r="L38" s="36"/>
      <c r="M38" s="36">
        <f t="shared" si="2"/>
        <v>2424</v>
      </c>
      <c r="N38" s="36">
        <v>5</v>
      </c>
      <c r="O38" s="36">
        <v>3</v>
      </c>
      <c r="P38" s="36">
        <v>54</v>
      </c>
      <c r="Q38" s="36">
        <v>2</v>
      </c>
    </row>
    <row r="39" spans="1:17" s="32" customFormat="1" ht="15.75">
      <c r="A39" s="26" t="s">
        <v>212</v>
      </c>
      <c r="B39" s="26" t="s">
        <v>33</v>
      </c>
      <c r="C39" s="87">
        <v>471</v>
      </c>
      <c r="D39" s="87">
        <v>477</v>
      </c>
      <c r="E39" s="26"/>
      <c r="F39" s="87">
        <v>421</v>
      </c>
      <c r="G39" s="87">
        <v>408</v>
      </c>
      <c r="H39" s="87">
        <v>413</v>
      </c>
      <c r="I39" s="26">
        <v>402</v>
      </c>
      <c r="J39" s="26"/>
      <c r="K39" s="26"/>
      <c r="L39" s="26"/>
      <c r="M39" s="26">
        <f t="shared" si="2"/>
        <v>2592</v>
      </c>
      <c r="N39" s="26">
        <v>7</v>
      </c>
      <c r="O39" s="26">
        <v>1</v>
      </c>
      <c r="P39" s="26">
        <v>206</v>
      </c>
      <c r="Q39" s="26">
        <v>2</v>
      </c>
    </row>
    <row r="40" spans="1:17" s="41" customFormat="1" ht="15.75">
      <c r="A40" s="36" t="s">
        <v>213</v>
      </c>
      <c r="B40" s="36" t="s">
        <v>21</v>
      </c>
      <c r="C40" s="67">
        <v>440</v>
      </c>
      <c r="D40" s="67">
        <v>463</v>
      </c>
      <c r="E40" s="36"/>
      <c r="F40" s="67">
        <v>412</v>
      </c>
      <c r="G40" s="67">
        <v>403</v>
      </c>
      <c r="H40" s="36">
        <v>373</v>
      </c>
      <c r="I40" s="36">
        <v>334</v>
      </c>
      <c r="J40" s="36"/>
      <c r="K40" s="36"/>
      <c r="L40" s="36"/>
      <c r="M40" s="36">
        <f t="shared" si="2"/>
        <v>2425</v>
      </c>
      <c r="N40" s="36">
        <v>4</v>
      </c>
      <c r="O40" s="36">
        <v>4</v>
      </c>
      <c r="P40" s="36">
        <v>-17</v>
      </c>
      <c r="Q40" s="36">
        <v>1</v>
      </c>
    </row>
    <row r="41" spans="1:17" s="32" customFormat="1" ht="15.75">
      <c r="A41" s="26" t="s">
        <v>214</v>
      </c>
      <c r="B41" s="26" t="s">
        <v>19</v>
      </c>
      <c r="C41" s="87">
        <v>440</v>
      </c>
      <c r="D41" s="87">
        <v>451</v>
      </c>
      <c r="E41" s="26">
        <v>334</v>
      </c>
      <c r="F41" s="26">
        <v>396</v>
      </c>
      <c r="G41" s="87">
        <v>412</v>
      </c>
      <c r="H41" s="45"/>
      <c r="I41" s="87">
        <v>436</v>
      </c>
      <c r="J41" s="26"/>
      <c r="K41" s="26"/>
      <c r="L41" s="26"/>
      <c r="M41" s="26">
        <f t="shared" si="2"/>
        <v>2469</v>
      </c>
      <c r="N41" s="26">
        <v>6</v>
      </c>
      <c r="O41" s="26">
        <v>2</v>
      </c>
      <c r="P41" s="26">
        <f>+M41-2364</f>
        <v>105</v>
      </c>
      <c r="Q41" s="26">
        <v>2</v>
      </c>
    </row>
    <row r="42" spans="1:17" s="104" customFormat="1" ht="15.75">
      <c r="A42" s="103" t="s">
        <v>215</v>
      </c>
      <c r="B42" s="103" t="s">
        <v>24</v>
      </c>
      <c r="J42" s="103"/>
      <c r="K42" s="103"/>
      <c r="L42" s="103"/>
      <c r="M42" s="103">
        <f t="shared" si="2"/>
        <v>0</v>
      </c>
      <c r="N42" s="103"/>
      <c r="O42" s="103"/>
      <c r="P42" s="103"/>
      <c r="Q42" s="103"/>
    </row>
    <row r="43" spans="1:17" s="32" customFormat="1" ht="15.75">
      <c r="A43" s="26" t="s">
        <v>216</v>
      </c>
      <c r="B43" s="26" t="s">
        <v>17</v>
      </c>
      <c r="C43" s="114">
        <v>446</v>
      </c>
      <c r="D43" s="114">
        <v>460</v>
      </c>
      <c r="E43" s="103">
        <v>359</v>
      </c>
      <c r="F43" s="103">
        <v>389</v>
      </c>
      <c r="G43" s="114">
        <v>425</v>
      </c>
      <c r="H43" s="103"/>
      <c r="I43" s="103">
        <v>382</v>
      </c>
      <c r="J43" s="26"/>
      <c r="K43" s="26"/>
      <c r="L43" s="26"/>
      <c r="M43" s="26">
        <f>SUM(C43:L43)</f>
        <v>2461</v>
      </c>
      <c r="N43" s="26">
        <v>3</v>
      </c>
      <c r="O43" s="26">
        <v>5</v>
      </c>
      <c r="P43" s="26">
        <v>-41</v>
      </c>
      <c r="Q43" s="26">
        <v>0</v>
      </c>
    </row>
    <row r="44" spans="1:17" s="41" customFormat="1" ht="16.5" thickBot="1">
      <c r="A44" s="36" t="s">
        <v>217</v>
      </c>
      <c r="B44" s="36" t="s">
        <v>15</v>
      </c>
      <c r="C44" s="67">
        <v>446</v>
      </c>
      <c r="D44" s="67">
        <v>437</v>
      </c>
      <c r="E44" s="36">
        <v>367</v>
      </c>
      <c r="F44" s="36">
        <v>380</v>
      </c>
      <c r="G44" s="67">
        <v>442</v>
      </c>
      <c r="H44" s="36">
        <v>375</v>
      </c>
      <c r="I44" s="36"/>
      <c r="J44" s="36"/>
      <c r="K44" s="36"/>
      <c r="L44" s="36"/>
      <c r="M44" s="36">
        <f t="shared" si="2"/>
        <v>2447</v>
      </c>
      <c r="N44" s="53">
        <v>5</v>
      </c>
      <c r="O44" s="53">
        <v>3</v>
      </c>
      <c r="P44" s="53">
        <f>+M44-2368</f>
        <v>79</v>
      </c>
      <c r="Q44" s="53">
        <v>2</v>
      </c>
    </row>
    <row r="45" spans="14:17" ht="16.5" thickTop="1">
      <c r="N45" s="1">
        <f>SUM(N30:N44)</f>
        <v>57</v>
      </c>
      <c r="O45" s="1">
        <f>SUM(O30:O44)</f>
        <v>55</v>
      </c>
      <c r="P45" s="1">
        <f>SUM(P30:P44)</f>
        <v>32</v>
      </c>
      <c r="Q45" s="1">
        <f>SUM(Q30:Q44)</f>
        <v>15</v>
      </c>
    </row>
  </sheetData>
  <mergeCells count="9">
    <mergeCell ref="C1:L1"/>
    <mergeCell ref="N1:O1"/>
    <mergeCell ref="C21:D21"/>
    <mergeCell ref="N19:O19"/>
    <mergeCell ref="I24:J24"/>
    <mergeCell ref="L24:M24"/>
    <mergeCell ref="L25:M25"/>
    <mergeCell ref="C22:D22"/>
    <mergeCell ref="C23:D23"/>
  </mergeCells>
  <printOptions/>
  <pageMargins left="0.75" right="0.75" top="1" bottom="1" header="0.5" footer="0.5"/>
  <pageSetup orientation="portrait" paperSize="9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GYG</cp:lastModifiedBy>
  <dcterms:created xsi:type="dcterms:W3CDTF">2008-09-16T07:00:15Z</dcterms:created>
  <dcterms:modified xsi:type="dcterms:W3CDTF">2010-04-27T13:46:07Z</dcterms:modified>
  <cp:category/>
  <cp:version/>
  <cp:contentType/>
  <cp:contentStatus/>
</cp:coreProperties>
</file>