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680" tabRatio="839" activeTab="13"/>
  </bookViews>
  <sheets>
    <sheet name="Kinizsi" sheetId="1" r:id="rId1"/>
    <sheet name="Tápé" sheetId="2" r:id="rId2"/>
    <sheet name="Szedd Le" sheetId="3" r:id="rId3"/>
    <sheet name="Kalmár" sheetId="4" r:id="rId4"/>
    <sheet name="Privát" sheetId="5" r:id="rId5"/>
    <sheet name="Santé" sheetId="6" r:id="rId6"/>
    <sheet name="Dél Akku" sheetId="7" r:id="rId7"/>
    <sheet name="Bolgár" sheetId="8" r:id="rId8"/>
    <sheet name="Szefo" sheetId="9" r:id="rId9"/>
    <sheet name="Pörc" sheetId="10" r:id="rId10"/>
    <sheet name="Anro ker" sheetId="11" r:id="rId11"/>
    <sheet name="Amazonok" sheetId="12" r:id="rId12"/>
    <sheet name="Phoenix" sheetId="13" r:id="rId13"/>
    <sheet name="Guriga" sheetId="14" r:id="rId14"/>
    <sheet name="Postás szakszerv." sheetId="15" r:id="rId15"/>
  </sheets>
  <definedNames/>
  <calcPr fullCalcOnLoad="1"/>
</workbook>
</file>

<file path=xl/sharedStrings.xml><?xml version="1.0" encoding="utf-8"?>
<sst xmlns="http://schemas.openxmlformats.org/spreadsheetml/2006/main" count="1201" uniqueCount="208">
  <si>
    <t>Tápé</t>
  </si>
  <si>
    <t>Kalmár</t>
  </si>
  <si>
    <t>Privát</t>
  </si>
  <si>
    <t>Phoenix</t>
  </si>
  <si>
    <t>Guriga</t>
  </si>
  <si>
    <t>Anro Ker</t>
  </si>
  <si>
    <t>Szefo</t>
  </si>
  <si>
    <t>Pörc TC</t>
  </si>
  <si>
    <t>Dél Akku</t>
  </si>
  <si>
    <t>-</t>
  </si>
  <si>
    <t>Postás</t>
  </si>
  <si>
    <t>Szedd Le</t>
  </si>
  <si>
    <t>Santé</t>
  </si>
  <si>
    <t>Amazonok</t>
  </si>
  <si>
    <t>Bolgár</t>
  </si>
  <si>
    <t>Ellenfél</t>
  </si>
  <si>
    <t>Kinizsi</t>
  </si>
  <si>
    <t>Dobók</t>
  </si>
  <si>
    <t>Pörc</t>
  </si>
  <si>
    <t>Anro ker</t>
  </si>
  <si>
    <t xml:space="preserve">Amazonok </t>
  </si>
  <si>
    <t xml:space="preserve">Pörc </t>
  </si>
  <si>
    <t>mérkőzés eredménye</t>
  </si>
  <si>
    <t>ellenfél</t>
  </si>
  <si>
    <t>Össz. dobott fa</t>
  </si>
  <si>
    <t>fa különbség</t>
  </si>
  <si>
    <t>Szedd le</t>
  </si>
  <si>
    <t>Rangasz Pál</t>
  </si>
  <si>
    <t>Olajos Mihály</t>
  </si>
  <si>
    <t>Győző-Molnár Krisztina</t>
  </si>
  <si>
    <t>Szabó László</t>
  </si>
  <si>
    <t>Huszka Bea</t>
  </si>
  <si>
    <t>Iványi László</t>
  </si>
  <si>
    <t>Kaufmann Zoltán</t>
  </si>
  <si>
    <t>Gyuris Gábor</t>
  </si>
  <si>
    <t>Elek-Savanya István</t>
  </si>
  <si>
    <t>Tímár Edina</t>
  </si>
  <si>
    <t>Sáfrány Anita</t>
  </si>
  <si>
    <t>Dobozi Iván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</si>
  <si>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</si>
  <si>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</si>
  <si>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</si>
  <si>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</si>
  <si>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</si>
  <si>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</si>
  <si>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</si>
  <si>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</si>
  <si>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</si>
  <si>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</si>
  <si>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</si>
  <si>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</si>
  <si>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</si>
  <si>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</si>
  <si>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</si>
  <si>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</si>
  <si>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</si>
  <si>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</si>
  <si>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</si>
  <si>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</si>
  <si>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Galgóczy Tibor</t>
  </si>
  <si>
    <t>Dancsó Antal</t>
  </si>
  <si>
    <t>Moráth László</t>
  </si>
  <si>
    <t>Jaksa Tibor</t>
  </si>
  <si>
    <t>Ugrai Antal</t>
  </si>
  <si>
    <t>Balogh László</t>
  </si>
  <si>
    <t>Naschitz Károly</t>
  </si>
  <si>
    <t>Zsódi Imre</t>
  </si>
  <si>
    <t>Lázár János</t>
  </si>
  <si>
    <t>Tompa Panni</t>
  </si>
  <si>
    <t>Szani Péter</t>
  </si>
  <si>
    <t>Ifj. Bogdán Gábor</t>
  </si>
  <si>
    <t>Hollos Imre</t>
  </si>
  <si>
    <t>Hódi Tamás</t>
  </si>
  <si>
    <t>Mező Ferenc</t>
  </si>
  <si>
    <t>Bogdán Gábor</t>
  </si>
  <si>
    <t>Andracsek Roland</t>
  </si>
  <si>
    <t>Maszlag István</t>
  </si>
  <si>
    <t>Kratochwill József</t>
  </si>
  <si>
    <t>Péter Csaba</t>
  </si>
  <si>
    <t>Bodócsi László</t>
  </si>
  <si>
    <t>Mladin István</t>
  </si>
  <si>
    <t>Papp Tamás</t>
  </si>
  <si>
    <t>Péter Norbert</t>
  </si>
  <si>
    <t>Calbert László</t>
  </si>
  <si>
    <t>Majoros Tibor</t>
  </si>
  <si>
    <t>Nagymihályné Böbe</t>
  </si>
  <si>
    <t>Busa Endre</t>
  </si>
  <si>
    <t>Battancs Szilveszter</t>
  </si>
  <si>
    <t>Kerti Róbert</t>
  </si>
  <si>
    <t>Horváth Hajni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</si>
  <si>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</si>
  <si>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</si>
  <si>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</si>
  <si>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</si>
  <si>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</si>
  <si>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</si>
  <si>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</si>
  <si>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Kamasz Gábor</t>
  </si>
  <si>
    <t>Kalmár László</t>
  </si>
  <si>
    <t>Balogh József</t>
  </si>
  <si>
    <t>Ifj. Sonkoly László</t>
  </si>
  <si>
    <t>Ifj. Faragó Zoltán</t>
  </si>
  <si>
    <t>Naschitz Katalin</t>
  </si>
  <si>
    <t>Veres Zsolt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</si>
  <si>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</si>
  <si>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</si>
  <si>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</si>
  <si>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</si>
  <si>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</si>
  <si>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</si>
  <si>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Horváth István</t>
  </si>
  <si>
    <t>Miklós Zsolt</t>
  </si>
  <si>
    <t>Balla Sándor</t>
  </si>
  <si>
    <t>Nagymihály Ferenc</t>
  </si>
  <si>
    <t>Frank Antal</t>
  </si>
  <si>
    <t>Csamangó Csaba</t>
  </si>
  <si>
    <t>Szombati János</t>
  </si>
  <si>
    <t>Szendrei Zsolt</t>
  </si>
  <si>
    <t>Szanyi Géza</t>
  </si>
  <si>
    <t>Kalmár József</t>
  </si>
  <si>
    <t>Németh József</t>
  </si>
  <si>
    <t>Balázs István</t>
  </si>
  <si>
    <t>Buri Jenő</t>
  </si>
  <si>
    <t>Kórász Anna</t>
  </si>
  <si>
    <t>Ferenczi László</t>
  </si>
  <si>
    <t>Pocsainé Zsuzsa</t>
  </si>
  <si>
    <t>Erdei Károly</t>
  </si>
  <si>
    <t>Juhász Tibor</t>
  </si>
  <si>
    <t>Bolgár Tamás</t>
  </si>
  <si>
    <t>Szabó István</t>
  </si>
  <si>
    <t>Nagy-Dani Károly</t>
  </si>
  <si>
    <t>Forró Anita</t>
  </si>
  <si>
    <t>Rimanoczy Tiván</t>
  </si>
  <si>
    <t>Kovács Orsolya</t>
  </si>
  <si>
    <t>Szerzett pontok</t>
  </si>
  <si>
    <t>Szett állás</t>
  </si>
  <si>
    <t>Össz pontszám:</t>
  </si>
  <si>
    <t>Faragó Zoltán</t>
  </si>
  <si>
    <t>Eperjesi József</t>
  </si>
  <si>
    <t>Márta Sándor</t>
  </si>
  <si>
    <t>Tót Zsolt</t>
  </si>
  <si>
    <t>Andracsek Tibor</t>
  </si>
  <si>
    <t>Török Attila</t>
  </si>
  <si>
    <t>Gál Zoltán</t>
  </si>
  <si>
    <t>Kovács Béla</t>
  </si>
  <si>
    <t>16. Forduló</t>
  </si>
  <si>
    <t>17. Forduló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</si>
  <si>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</si>
  <si>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</si>
  <si>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</si>
  <si>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</si>
  <si>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</si>
  <si>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</si>
  <si>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</si>
  <si>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</si>
  <si>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</si>
  <si>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</si>
  <si>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</si>
  <si>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</si>
  <si>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</si>
  <si>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hazai mérkőzés</t>
  </si>
  <si>
    <t>idegenbeli mérkőzés</t>
  </si>
  <si>
    <t>2008. őszi eredménye:</t>
  </si>
  <si>
    <t>helyezés</t>
  </si>
  <si>
    <t>Gy</t>
  </si>
  <si>
    <t>D</t>
  </si>
  <si>
    <t>V</t>
  </si>
  <si>
    <t>2009. tavaszi hazai eredmények</t>
  </si>
  <si>
    <t>szerzett  pontszám:</t>
  </si>
  <si>
    <t>2009. tavaszi idegenbeli eredmények</t>
  </si>
  <si>
    <t>szett különbség</t>
  </si>
  <si>
    <t>Vámosi Lukács</t>
  </si>
  <si>
    <t>Bódi Tibor</t>
  </si>
  <si>
    <t>Bárkai Krisztián</t>
  </si>
  <si>
    <t>Izsák Gábor</t>
  </si>
  <si>
    <t>Tóth Tibor</t>
  </si>
  <si>
    <t>Berek Tibor</t>
  </si>
  <si>
    <t>Horváth Ibolya</t>
  </si>
  <si>
    <t>Vukovic Igor</t>
  </si>
  <si>
    <t>Gyöngyösi Mária</t>
  </si>
  <si>
    <t>3.</t>
  </si>
  <si>
    <t>11.</t>
  </si>
  <si>
    <t>Csapat átlag:</t>
  </si>
  <si>
    <t>1.</t>
  </si>
  <si>
    <t>2.</t>
  </si>
  <si>
    <t>4.</t>
  </si>
  <si>
    <t>5.</t>
  </si>
  <si>
    <t>6.</t>
  </si>
  <si>
    <t>7.</t>
  </si>
  <si>
    <t>10.</t>
  </si>
  <si>
    <t>8.</t>
  </si>
  <si>
    <t>15.</t>
  </si>
  <si>
    <t>13.</t>
  </si>
  <si>
    <t>14.</t>
  </si>
  <si>
    <t>Sinkó Róbert</t>
  </si>
  <si>
    <t>Farkas Ilona</t>
  </si>
  <si>
    <t>Kővágó György</t>
  </si>
  <si>
    <t>Bajorics Csaba</t>
  </si>
  <si>
    <t>Kovács Csaba</t>
  </si>
  <si>
    <t>Andrási Csaba</t>
  </si>
  <si>
    <t>új pályacsúcs</t>
  </si>
  <si>
    <t>Ifj. Maszlag István</t>
  </si>
  <si>
    <t>Csíszér Előd</t>
  </si>
  <si>
    <t>Bordás László</t>
  </si>
  <si>
    <t>Balogh Judit</t>
  </si>
  <si>
    <t>Lázár Tibor</t>
  </si>
  <si>
    <t>átlag:</t>
  </si>
  <si>
    <t>Kecse-Nagy Sándor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</si>
</sst>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000\ _F_t_-;\-* #,##0.00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1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10"/>
      <color indexed="48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Up="1" diagonalDown="1">
      <left>
        <color indexed="63"/>
      </left>
      <right style="double"/>
      <top>
        <color indexed="63"/>
      </top>
      <bottom style="double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15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" sqref="I10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9.75390625" style="1" customWidth="1"/>
    <col min="5" max="12" width="9.125" style="1" customWidth="1"/>
    <col min="13" max="13" width="15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8" max="20" width="9.125" style="2" customWidth="1"/>
  </cols>
  <sheetData>
    <row r="1" spans="3:15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</row>
    <row r="2" spans="2:17" ht="32.25" thickBot="1">
      <c r="B2" s="3" t="s">
        <v>15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127</v>
      </c>
      <c r="J2" s="11" t="s">
        <v>142</v>
      </c>
      <c r="K2" s="11" t="s">
        <v>171</v>
      </c>
      <c r="L2" s="11" t="s">
        <v>172</v>
      </c>
      <c r="M2" s="3" t="s">
        <v>24</v>
      </c>
      <c r="N2" s="3" t="s">
        <v>16</v>
      </c>
      <c r="O2" s="3" t="s">
        <v>23</v>
      </c>
      <c r="P2" s="3" t="s">
        <v>25</v>
      </c>
      <c r="Q2" s="13" t="s">
        <v>134</v>
      </c>
    </row>
    <row r="3" spans="1:17" ht="15.75">
      <c r="A3" s="19" t="s">
        <v>145</v>
      </c>
      <c r="B3" s="17" t="s">
        <v>0</v>
      </c>
      <c r="C3" s="19">
        <v>439</v>
      </c>
      <c r="D3" s="19"/>
      <c r="E3" s="19"/>
      <c r="F3" s="19"/>
      <c r="G3" s="67">
        <v>447</v>
      </c>
      <c r="H3" s="19">
        <v>417</v>
      </c>
      <c r="I3" s="67">
        <v>478</v>
      </c>
      <c r="J3" s="67">
        <v>443</v>
      </c>
      <c r="K3" s="19"/>
      <c r="L3" s="69">
        <v>464</v>
      </c>
      <c r="M3" s="28">
        <f aca="true" t="shared" si="0" ref="M3:M17">SUM(B3:L3)</f>
        <v>2688</v>
      </c>
      <c r="N3" s="17">
        <v>6</v>
      </c>
      <c r="O3" s="17">
        <v>2</v>
      </c>
      <c r="P3" s="17">
        <v>113</v>
      </c>
      <c r="Q3" s="17">
        <v>2</v>
      </c>
    </row>
    <row r="4" spans="1:17" ht="15.75">
      <c r="A4" s="18" t="s">
        <v>146</v>
      </c>
      <c r="B4" s="21" t="s">
        <v>1</v>
      </c>
      <c r="C4" s="70">
        <v>433</v>
      </c>
      <c r="D4" s="18">
        <v>419</v>
      </c>
      <c r="E4" s="18"/>
      <c r="F4" s="18"/>
      <c r="G4" s="70">
        <v>438</v>
      </c>
      <c r="H4" s="18">
        <v>433</v>
      </c>
      <c r="I4" s="70">
        <v>440</v>
      </c>
      <c r="J4" s="18">
        <v>411</v>
      </c>
      <c r="K4" s="18"/>
      <c r="L4" s="22"/>
      <c r="M4" s="23">
        <f t="shared" si="0"/>
        <v>2574</v>
      </c>
      <c r="N4" s="21">
        <v>6</v>
      </c>
      <c r="O4" s="21">
        <v>2</v>
      </c>
      <c r="P4" s="21">
        <v>19</v>
      </c>
      <c r="Q4" s="21">
        <v>2</v>
      </c>
    </row>
    <row r="5" spans="1:17" ht="15.75">
      <c r="A5" s="17" t="s">
        <v>147</v>
      </c>
      <c r="B5" s="17" t="s">
        <v>7</v>
      </c>
      <c r="C5" s="67">
        <v>219</v>
      </c>
      <c r="D5" s="67">
        <v>420</v>
      </c>
      <c r="E5" s="19"/>
      <c r="F5" s="19"/>
      <c r="G5" s="67">
        <v>218</v>
      </c>
      <c r="H5" s="19">
        <v>409</v>
      </c>
      <c r="I5" s="67">
        <v>474</v>
      </c>
      <c r="J5" s="67">
        <v>443</v>
      </c>
      <c r="K5" s="19">
        <v>399</v>
      </c>
      <c r="L5" s="27"/>
      <c r="M5" s="28">
        <f t="shared" si="0"/>
        <v>2582</v>
      </c>
      <c r="N5" s="17">
        <v>6</v>
      </c>
      <c r="O5" s="17">
        <v>2</v>
      </c>
      <c r="P5" s="17">
        <v>86</v>
      </c>
      <c r="Q5" s="17">
        <v>2</v>
      </c>
    </row>
    <row r="6" spans="1:17" ht="15.75">
      <c r="A6" s="21" t="s">
        <v>148</v>
      </c>
      <c r="B6" s="21" t="s">
        <v>6</v>
      </c>
      <c r="C6" s="70">
        <v>458</v>
      </c>
      <c r="D6" s="18"/>
      <c r="E6" s="18"/>
      <c r="F6" s="18">
        <v>424</v>
      </c>
      <c r="G6" s="70">
        <v>445</v>
      </c>
      <c r="H6" s="18"/>
      <c r="I6" s="18">
        <v>411</v>
      </c>
      <c r="J6" s="70">
        <v>461</v>
      </c>
      <c r="K6" s="18">
        <v>383</v>
      </c>
      <c r="L6" s="22"/>
      <c r="M6" s="23">
        <f t="shared" si="0"/>
        <v>2582</v>
      </c>
      <c r="N6" s="21">
        <v>5</v>
      </c>
      <c r="O6" s="21">
        <v>3</v>
      </c>
      <c r="P6" s="21">
        <v>108</v>
      </c>
      <c r="Q6" s="21">
        <v>2</v>
      </c>
    </row>
    <row r="7" spans="1:17" ht="15.75">
      <c r="A7" s="17" t="s">
        <v>149</v>
      </c>
      <c r="B7" s="17" t="s">
        <v>5</v>
      </c>
      <c r="C7" s="17">
        <v>395</v>
      </c>
      <c r="D7" s="67">
        <v>459</v>
      </c>
      <c r="E7" s="19"/>
      <c r="F7" s="19"/>
      <c r="G7" s="19">
        <v>411</v>
      </c>
      <c r="H7" s="19"/>
      <c r="I7" s="67">
        <v>477</v>
      </c>
      <c r="J7" s="67">
        <v>440</v>
      </c>
      <c r="K7" s="19"/>
      <c r="L7" s="69">
        <v>453</v>
      </c>
      <c r="M7" s="28">
        <f t="shared" si="0"/>
        <v>2635</v>
      </c>
      <c r="N7" s="17">
        <v>6</v>
      </c>
      <c r="O7" s="17">
        <v>2</v>
      </c>
      <c r="P7" s="17">
        <v>216</v>
      </c>
      <c r="Q7" s="17">
        <v>2</v>
      </c>
    </row>
    <row r="8" spans="1:17" ht="15.75">
      <c r="A8" s="21" t="s">
        <v>150</v>
      </c>
      <c r="B8" s="21" t="s">
        <v>4</v>
      </c>
      <c r="C8" s="21">
        <v>401</v>
      </c>
      <c r="D8" s="70">
        <v>430</v>
      </c>
      <c r="E8" s="21"/>
      <c r="F8" s="21"/>
      <c r="G8" s="70">
        <v>443</v>
      </c>
      <c r="H8" s="70">
        <v>426</v>
      </c>
      <c r="I8" s="70">
        <v>424</v>
      </c>
      <c r="J8" s="21"/>
      <c r="K8" s="21">
        <v>386</v>
      </c>
      <c r="L8" s="22"/>
      <c r="M8" s="23">
        <f t="shared" si="0"/>
        <v>2510</v>
      </c>
      <c r="N8" s="21">
        <v>6</v>
      </c>
      <c r="O8" s="21">
        <v>2</v>
      </c>
      <c r="P8" s="21">
        <v>51</v>
      </c>
      <c r="Q8" s="21">
        <v>2</v>
      </c>
    </row>
    <row r="9" spans="1:18" ht="15.75">
      <c r="A9" s="17" t="s">
        <v>151</v>
      </c>
      <c r="B9" s="19" t="s">
        <v>3</v>
      </c>
      <c r="C9" s="17"/>
      <c r="D9" s="17"/>
      <c r="E9" s="17"/>
      <c r="F9" s="67">
        <v>464</v>
      </c>
      <c r="G9" s="17">
        <v>440</v>
      </c>
      <c r="H9" s="17"/>
      <c r="I9" s="67">
        <v>464</v>
      </c>
      <c r="J9" s="17">
        <v>436</v>
      </c>
      <c r="K9" s="67">
        <v>451</v>
      </c>
      <c r="L9" s="69">
        <v>473</v>
      </c>
      <c r="M9" s="28">
        <f t="shared" si="0"/>
        <v>2728</v>
      </c>
      <c r="N9" s="17">
        <v>6</v>
      </c>
      <c r="O9" s="17">
        <v>2</v>
      </c>
      <c r="P9" s="17">
        <v>351</v>
      </c>
      <c r="Q9" s="17">
        <v>2</v>
      </c>
      <c r="R9" s="2" t="s">
        <v>200</v>
      </c>
    </row>
    <row r="10" spans="1:17" ht="15.75">
      <c r="A10" s="21" t="s">
        <v>152</v>
      </c>
      <c r="B10" s="18" t="s">
        <v>2</v>
      </c>
      <c r="C10" s="70">
        <v>447</v>
      </c>
      <c r="D10" s="70">
        <v>433</v>
      </c>
      <c r="E10" s="21"/>
      <c r="F10" s="21"/>
      <c r="G10" s="21"/>
      <c r="H10" s="21">
        <v>423</v>
      </c>
      <c r="I10" s="70">
        <v>450</v>
      </c>
      <c r="J10" s="21">
        <v>426</v>
      </c>
      <c r="K10" s="21"/>
      <c r="L10" s="90">
        <v>497</v>
      </c>
      <c r="M10" s="23">
        <f t="shared" si="0"/>
        <v>2676</v>
      </c>
      <c r="N10" s="21">
        <v>6</v>
      </c>
      <c r="O10" s="21">
        <v>2</v>
      </c>
      <c r="P10" s="21">
        <v>150</v>
      </c>
      <c r="Q10" s="21">
        <v>2</v>
      </c>
    </row>
    <row r="11" spans="1:17" ht="15.75">
      <c r="A11" s="21" t="s">
        <v>153</v>
      </c>
      <c r="B11" s="21" t="s">
        <v>14</v>
      </c>
      <c r="C11" s="21">
        <v>421</v>
      </c>
      <c r="D11" s="70">
        <v>458</v>
      </c>
      <c r="E11" s="21"/>
      <c r="F11" s="21">
        <v>395</v>
      </c>
      <c r="G11" s="70">
        <v>477</v>
      </c>
      <c r="H11" s="21"/>
      <c r="I11" s="21"/>
      <c r="J11" s="21">
        <v>392</v>
      </c>
      <c r="K11" s="21"/>
      <c r="L11" s="90">
        <v>467</v>
      </c>
      <c r="M11" s="23">
        <f t="shared" si="0"/>
        <v>2610</v>
      </c>
      <c r="N11" s="21">
        <v>5</v>
      </c>
      <c r="O11" s="21">
        <v>3</v>
      </c>
      <c r="P11" s="21">
        <v>49</v>
      </c>
      <c r="Q11" s="21">
        <v>2</v>
      </c>
    </row>
    <row r="12" spans="1:17" ht="15.75">
      <c r="A12" s="17" t="s">
        <v>154</v>
      </c>
      <c r="B12" s="17" t="s">
        <v>13</v>
      </c>
      <c r="C12" s="17">
        <v>435</v>
      </c>
      <c r="D12" s="67">
        <v>457</v>
      </c>
      <c r="E12" s="17"/>
      <c r="F12" s="17"/>
      <c r="G12" s="17">
        <v>428</v>
      </c>
      <c r="H12" s="67">
        <v>452</v>
      </c>
      <c r="I12" s="17"/>
      <c r="J12" s="17"/>
      <c r="K12" s="17">
        <v>426</v>
      </c>
      <c r="L12" s="69">
        <v>443</v>
      </c>
      <c r="M12" s="28">
        <f t="shared" si="0"/>
        <v>2641</v>
      </c>
      <c r="N12" s="17">
        <v>3</v>
      </c>
      <c r="O12" s="17">
        <v>5</v>
      </c>
      <c r="P12" s="17">
        <v>-10</v>
      </c>
      <c r="Q12" s="17">
        <v>0</v>
      </c>
    </row>
    <row r="13" spans="1:17" ht="15.75">
      <c r="A13" s="21" t="s">
        <v>155</v>
      </c>
      <c r="B13" s="21" t="s">
        <v>12</v>
      </c>
      <c r="C13" s="21">
        <v>391</v>
      </c>
      <c r="D13" s="21">
        <v>384</v>
      </c>
      <c r="E13" s="21"/>
      <c r="F13" s="21">
        <v>410</v>
      </c>
      <c r="G13" s="21"/>
      <c r="H13" s="70">
        <v>426</v>
      </c>
      <c r="I13" s="70">
        <v>441</v>
      </c>
      <c r="J13" s="21"/>
      <c r="K13" s="21">
        <v>390</v>
      </c>
      <c r="L13" s="22"/>
      <c r="M13" s="23">
        <f t="shared" si="0"/>
        <v>2442</v>
      </c>
      <c r="N13" s="21">
        <v>2</v>
      </c>
      <c r="O13" s="21">
        <v>6</v>
      </c>
      <c r="P13" s="21">
        <v>-80</v>
      </c>
      <c r="Q13" s="21">
        <v>0</v>
      </c>
    </row>
    <row r="14" spans="1:17" ht="15.75">
      <c r="A14" s="17" t="s">
        <v>156</v>
      </c>
      <c r="B14" s="17" t="s">
        <v>11</v>
      </c>
      <c r="C14" s="67">
        <v>431</v>
      </c>
      <c r="D14" s="17">
        <v>423</v>
      </c>
      <c r="E14" s="17"/>
      <c r="F14" s="17"/>
      <c r="G14" s="67">
        <v>446</v>
      </c>
      <c r="H14" s="17"/>
      <c r="I14" s="67">
        <v>454</v>
      </c>
      <c r="J14" s="17">
        <v>411</v>
      </c>
      <c r="K14" s="17"/>
      <c r="L14" s="69">
        <v>512</v>
      </c>
      <c r="M14" s="28">
        <f t="shared" si="0"/>
        <v>2677</v>
      </c>
      <c r="N14" s="17">
        <v>6</v>
      </c>
      <c r="O14" s="17">
        <v>2</v>
      </c>
      <c r="P14" s="17">
        <v>85</v>
      </c>
      <c r="Q14" s="17">
        <v>2</v>
      </c>
    </row>
    <row r="15" spans="1:17" ht="15.75">
      <c r="A15" s="21" t="s">
        <v>157</v>
      </c>
      <c r="B15" s="21" t="s">
        <v>10</v>
      </c>
      <c r="C15" s="70">
        <v>426</v>
      </c>
      <c r="D15" s="70">
        <v>424</v>
      </c>
      <c r="E15" s="70">
        <v>442</v>
      </c>
      <c r="F15" s="21">
        <v>416</v>
      </c>
      <c r="G15" s="21"/>
      <c r="H15" s="70">
        <v>435</v>
      </c>
      <c r="I15" s="21"/>
      <c r="J15" s="21"/>
      <c r="K15" s="21">
        <v>413</v>
      </c>
      <c r="L15" s="22"/>
      <c r="M15" s="23">
        <f t="shared" si="0"/>
        <v>2556</v>
      </c>
      <c r="N15" s="21">
        <v>6</v>
      </c>
      <c r="O15" s="21">
        <v>2</v>
      </c>
      <c r="P15" s="23">
        <f>M15-2388</f>
        <v>168</v>
      </c>
      <c r="Q15" s="21">
        <v>2</v>
      </c>
    </row>
    <row r="16" spans="1:13" ht="15.75">
      <c r="A16" s="1" t="s">
        <v>158</v>
      </c>
      <c r="B16" s="1" t="s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7">
        <f t="shared" si="0"/>
        <v>0</v>
      </c>
    </row>
    <row r="17" spans="1:17" ht="16.5" thickBot="1">
      <c r="A17" s="18" t="s">
        <v>159</v>
      </c>
      <c r="B17" s="18" t="s">
        <v>8</v>
      </c>
      <c r="C17" s="24">
        <v>411</v>
      </c>
      <c r="D17" s="99">
        <v>464</v>
      </c>
      <c r="E17" s="99">
        <v>443</v>
      </c>
      <c r="F17" s="24"/>
      <c r="G17" s="24">
        <v>430</v>
      </c>
      <c r="H17" s="24"/>
      <c r="I17" s="99">
        <v>452</v>
      </c>
      <c r="J17" s="24"/>
      <c r="K17" s="24"/>
      <c r="L17" s="100">
        <v>471</v>
      </c>
      <c r="M17" s="26">
        <f t="shared" si="0"/>
        <v>2671</v>
      </c>
      <c r="N17" s="24">
        <v>6</v>
      </c>
      <c r="O17" s="24">
        <v>2</v>
      </c>
      <c r="P17" s="26">
        <f>M17-2493</f>
        <v>178</v>
      </c>
      <c r="Q17" s="24">
        <v>2</v>
      </c>
    </row>
    <row r="18" spans="3:12" ht="16.5" thickTop="1">
      <c r="C18" s="7">
        <f>SUM(C3:C17)</f>
        <v>5307</v>
      </c>
      <c r="D18" s="7">
        <f aca="true" t="shared" si="1" ref="D18:L18">SUM(D3:D17)</f>
        <v>4771</v>
      </c>
      <c r="E18" s="7">
        <f t="shared" si="1"/>
        <v>885</v>
      </c>
      <c r="F18" s="7">
        <f t="shared" si="1"/>
        <v>2109</v>
      </c>
      <c r="G18" s="7">
        <f t="shared" si="1"/>
        <v>4623</v>
      </c>
      <c r="H18" s="7">
        <f t="shared" si="1"/>
        <v>3421</v>
      </c>
      <c r="I18" s="7">
        <f t="shared" si="1"/>
        <v>4965</v>
      </c>
      <c r="J18" s="7">
        <f t="shared" si="1"/>
        <v>3863</v>
      </c>
      <c r="K18" s="7">
        <f t="shared" si="1"/>
        <v>2848</v>
      </c>
      <c r="L18" s="7">
        <f t="shared" si="1"/>
        <v>3780</v>
      </c>
    </row>
    <row r="19" spans="2:17" ht="33" customHeight="1">
      <c r="B19" s="93" t="s">
        <v>206</v>
      </c>
      <c r="C19" s="94">
        <f>C18/12.5</f>
        <v>424.56</v>
      </c>
      <c r="D19" s="94">
        <f>D18/11</f>
        <v>433.72727272727275</v>
      </c>
      <c r="E19" s="94">
        <f>E18/2</f>
        <v>442.5</v>
      </c>
      <c r="F19" s="94">
        <f>F18/5</f>
        <v>421.8</v>
      </c>
      <c r="G19" s="94">
        <f>G18/10.5</f>
        <v>440.2857142857143</v>
      </c>
      <c r="H19" s="94">
        <f>H18/8</f>
        <v>427.625</v>
      </c>
      <c r="I19" s="94">
        <f>I18/11</f>
        <v>451.3636363636364</v>
      </c>
      <c r="J19" s="94">
        <f>J18/9</f>
        <v>429.22222222222223</v>
      </c>
      <c r="K19" s="94">
        <f>K18/7</f>
        <v>406.85714285714283</v>
      </c>
      <c r="L19" s="94">
        <f>L18/8</f>
        <v>472.5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3:17" ht="15.75">
      <c r="C20" s="103" t="s">
        <v>39</v>
      </c>
      <c r="D20" s="103"/>
      <c r="M20" s="7">
        <f>SUM(M3:M17)</f>
        <v>36572</v>
      </c>
      <c r="N20" s="1">
        <f>SUM(N3:N17)+75</f>
        <v>150</v>
      </c>
      <c r="O20" s="1">
        <f>SUM(O3:O17)+37</f>
        <v>74</v>
      </c>
      <c r="P20" s="1">
        <f>SUM(P3:P17)</f>
        <v>1484</v>
      </c>
      <c r="Q20" s="1">
        <f>SUM(Q3:Q17)+21</f>
        <v>45</v>
      </c>
    </row>
    <row r="21" spans="3:4" ht="15.75">
      <c r="C21" s="104" t="s">
        <v>160</v>
      </c>
      <c r="D21" s="104"/>
    </row>
    <row r="22" spans="3:4" ht="15.75">
      <c r="C22" s="105" t="s">
        <v>161</v>
      </c>
      <c r="D22" s="105"/>
    </row>
    <row r="23" spans="14:15" ht="15.75">
      <c r="N23" s="106" t="s">
        <v>170</v>
      </c>
      <c r="O23" s="106"/>
    </row>
    <row r="24" spans="3:15" ht="15.75">
      <c r="C24" s="29" t="s">
        <v>162</v>
      </c>
      <c r="N24" s="107">
        <f>N20-O20</f>
        <v>76</v>
      </c>
      <c r="O24" s="107"/>
    </row>
    <row r="25" spans="2:11" ht="19.5" customHeight="1">
      <c r="B25" s="3" t="s">
        <v>163</v>
      </c>
      <c r="C25" s="3" t="s">
        <v>164</v>
      </c>
      <c r="D25" s="3" t="s">
        <v>165</v>
      </c>
      <c r="E25" s="3" t="s">
        <v>166</v>
      </c>
      <c r="F25" s="101" t="s">
        <v>135</v>
      </c>
      <c r="G25" s="101"/>
      <c r="H25" s="101" t="s">
        <v>182</v>
      </c>
      <c r="I25" s="101"/>
      <c r="J25" s="102" t="s">
        <v>136</v>
      </c>
      <c r="K25" s="102"/>
    </row>
    <row r="26" spans="2:11" ht="15.75">
      <c r="B26" s="1" t="s">
        <v>180</v>
      </c>
      <c r="C26" s="1">
        <v>10</v>
      </c>
      <c r="D26" s="1">
        <v>1</v>
      </c>
      <c r="E26" s="1">
        <v>3</v>
      </c>
      <c r="F26" s="1">
        <v>75</v>
      </c>
      <c r="G26" s="1">
        <v>37</v>
      </c>
      <c r="H26" s="110">
        <v>2626</v>
      </c>
      <c r="I26" s="110"/>
      <c r="J26" s="109">
        <v>21</v>
      </c>
      <c r="K26" s="109"/>
    </row>
    <row r="27" spans="3:15" ht="15.75">
      <c r="C27" s="29" t="s">
        <v>167</v>
      </c>
      <c r="M27" s="101" t="s">
        <v>182</v>
      </c>
      <c r="N27" s="101"/>
      <c r="O27" s="7">
        <f>AVERAGE(M3,M4,M5,M6,M7,M9,M10,M11,M12,M14,M15,M8,M17,M13)</f>
        <v>2612.285714285714</v>
      </c>
    </row>
    <row r="28" spans="3:11" ht="30.75" customHeight="1">
      <c r="C28" s="3" t="s">
        <v>164</v>
      </c>
      <c r="D28" s="3" t="s">
        <v>165</v>
      </c>
      <c r="E28" s="3" t="s">
        <v>166</v>
      </c>
      <c r="F28" s="101" t="s">
        <v>135</v>
      </c>
      <c r="G28" s="101"/>
      <c r="H28" s="101" t="s">
        <v>24</v>
      </c>
      <c r="I28" s="101"/>
      <c r="J28" s="102" t="s">
        <v>168</v>
      </c>
      <c r="K28" s="102"/>
    </row>
    <row r="29" spans="3:11" ht="15.75">
      <c r="C29" s="1">
        <v>5</v>
      </c>
      <c r="E29" s="1">
        <v>1</v>
      </c>
      <c r="F29" s="7">
        <f>N3+N5+N7+N12+N14+N9</f>
        <v>33</v>
      </c>
      <c r="G29" s="7">
        <f>O3+O5+O7+O12+O14+O9</f>
        <v>15</v>
      </c>
      <c r="H29" s="108">
        <f>M3+M5+M7+M9+M12+M14</f>
        <v>15951</v>
      </c>
      <c r="I29" s="109"/>
      <c r="J29" s="109">
        <f>Q3+Q5+Q7+Q9+Q12+Q14</f>
        <v>10</v>
      </c>
      <c r="K29" s="109"/>
    </row>
    <row r="30" ht="15.75">
      <c r="C30" s="29" t="s">
        <v>169</v>
      </c>
    </row>
    <row r="31" spans="3:11" ht="30.75" customHeight="1">
      <c r="C31" s="3" t="s">
        <v>164</v>
      </c>
      <c r="D31" s="3" t="s">
        <v>165</v>
      </c>
      <c r="E31" s="3" t="s">
        <v>166</v>
      </c>
      <c r="F31" s="101" t="s">
        <v>135</v>
      </c>
      <c r="G31" s="101"/>
      <c r="H31" s="101" t="s">
        <v>24</v>
      </c>
      <c r="I31" s="101"/>
      <c r="J31" s="102" t="s">
        <v>168</v>
      </c>
      <c r="K31" s="102"/>
    </row>
    <row r="32" spans="3:11" ht="15.75">
      <c r="C32" s="1">
        <v>7</v>
      </c>
      <c r="E32" s="1">
        <v>1</v>
      </c>
      <c r="F32" s="7">
        <f>N4+N6+N8+N10+N11+N13+N15+N17</f>
        <v>42</v>
      </c>
      <c r="G32" s="7">
        <f>O4+O6+O8+O10+O11+O13+O15+O17</f>
        <v>22</v>
      </c>
      <c r="H32" s="108">
        <f>M4+M6+M8+M10+M11+M13+M15+M17</f>
        <v>20621</v>
      </c>
      <c r="I32" s="109"/>
      <c r="J32" s="109">
        <f>Q4+Q6+Q8+Q10+Q11+Q13+Q15+Q17</f>
        <v>14</v>
      </c>
      <c r="K32" s="109"/>
    </row>
  </sheetData>
  <mergeCells count="24">
    <mergeCell ref="M27:N27"/>
    <mergeCell ref="H25:I25"/>
    <mergeCell ref="J26:K26"/>
    <mergeCell ref="H26:I26"/>
    <mergeCell ref="H32:I32"/>
    <mergeCell ref="J32:K32"/>
    <mergeCell ref="F28:G28"/>
    <mergeCell ref="J29:K29"/>
    <mergeCell ref="F31:G31"/>
    <mergeCell ref="H31:I31"/>
    <mergeCell ref="J31:K31"/>
    <mergeCell ref="H29:I29"/>
    <mergeCell ref="J28:K28"/>
    <mergeCell ref="H28:I28"/>
    <mergeCell ref="C1:L1"/>
    <mergeCell ref="N1:O1"/>
    <mergeCell ref="N19:O19"/>
    <mergeCell ref="J25:K25"/>
    <mergeCell ref="C20:D20"/>
    <mergeCell ref="C21:D21"/>
    <mergeCell ref="F25:G25"/>
    <mergeCell ref="C22:D22"/>
    <mergeCell ref="N23:O23"/>
    <mergeCell ref="N24:O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zoomScale="89" zoomScaleNormal="89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3" sqref="A3"/>
      <selection pane="bottomRight" activeCell="J30" sqref="J30:K30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4.00390625" style="1" customWidth="1"/>
    <col min="5" max="5" width="9.125" style="1" customWidth="1"/>
    <col min="6" max="6" width="11.375" style="1" customWidth="1"/>
    <col min="7" max="9" width="9.125" style="1" customWidth="1"/>
    <col min="10" max="10" width="12.00390625" style="1" customWidth="1"/>
    <col min="11" max="11" width="9.125" style="1" customWidth="1"/>
    <col min="12" max="12" width="15.875" style="1" bestFit="1" customWidth="1"/>
    <col min="13" max="13" width="14.875" style="1" bestFit="1" customWidth="1"/>
    <col min="14" max="14" width="8.25390625" style="1" bestFit="1" customWidth="1"/>
    <col min="15" max="15" width="13.625" style="1" bestFit="1" customWidth="1"/>
    <col min="16" max="16" width="13.375" style="1" customWidth="1"/>
    <col min="17" max="17" width="14.62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3:20" ht="15.75">
      <c r="C2" s="101" t="s">
        <v>17</v>
      </c>
      <c r="D2" s="101"/>
      <c r="E2" s="101"/>
      <c r="F2" s="101"/>
      <c r="G2" s="101"/>
      <c r="H2" s="101"/>
      <c r="I2" s="101"/>
      <c r="J2" s="101"/>
      <c r="K2" s="101"/>
      <c r="L2" s="3"/>
      <c r="M2" s="101" t="s">
        <v>22</v>
      </c>
      <c r="N2" s="101"/>
      <c r="O2" s="3"/>
      <c r="R2" s="2"/>
      <c r="S2" s="2"/>
      <c r="T2" s="2"/>
    </row>
    <row r="3" spans="2:17" ht="34.5" customHeight="1" thickBot="1">
      <c r="B3" s="3" t="s">
        <v>15</v>
      </c>
      <c r="C3" s="11" t="s">
        <v>84</v>
      </c>
      <c r="D3" s="11" t="s">
        <v>85</v>
      </c>
      <c r="E3" s="11" t="s">
        <v>86</v>
      </c>
      <c r="F3" s="11" t="s">
        <v>87</v>
      </c>
      <c r="G3" s="11" t="s">
        <v>88</v>
      </c>
      <c r="H3" s="11" t="s">
        <v>89</v>
      </c>
      <c r="I3" s="11" t="s">
        <v>112</v>
      </c>
      <c r="J3" s="11" t="s">
        <v>113</v>
      </c>
      <c r="K3" s="11" t="s">
        <v>177</v>
      </c>
      <c r="L3" s="3" t="s">
        <v>24</v>
      </c>
      <c r="M3" s="3" t="s">
        <v>18</v>
      </c>
      <c r="N3" s="3" t="s">
        <v>23</v>
      </c>
      <c r="O3" s="3" t="s">
        <v>25</v>
      </c>
      <c r="P3" s="13" t="s">
        <v>134</v>
      </c>
      <c r="Q3"/>
    </row>
    <row r="4" spans="1:16" s="41" customFormat="1" ht="15.75">
      <c r="A4" s="20" t="s">
        <v>145</v>
      </c>
      <c r="B4" s="39" t="s">
        <v>4</v>
      </c>
      <c r="C4" s="39">
        <v>393</v>
      </c>
      <c r="D4" s="20"/>
      <c r="E4" s="20"/>
      <c r="F4" s="20">
        <v>399</v>
      </c>
      <c r="G4" s="68">
        <v>420</v>
      </c>
      <c r="H4" s="68">
        <v>448</v>
      </c>
      <c r="I4" s="20">
        <v>366</v>
      </c>
      <c r="J4" s="20"/>
      <c r="K4" s="57">
        <v>387</v>
      </c>
      <c r="L4" s="49">
        <f aca="true" t="shared" si="0" ref="L4:L17">SUM(C4:K4)</f>
        <v>2413</v>
      </c>
      <c r="M4" s="39">
        <v>4</v>
      </c>
      <c r="N4" s="39">
        <v>4</v>
      </c>
      <c r="O4" s="39">
        <v>21</v>
      </c>
      <c r="P4" s="39">
        <v>1</v>
      </c>
    </row>
    <row r="5" spans="1:16" s="38" customFormat="1" ht="15.75">
      <c r="A5" s="19" t="s">
        <v>146</v>
      </c>
      <c r="B5" s="17" t="s">
        <v>3</v>
      </c>
      <c r="C5" s="17">
        <v>410</v>
      </c>
      <c r="D5" s="19"/>
      <c r="E5" s="67">
        <v>429</v>
      </c>
      <c r="F5" s="19">
        <v>422</v>
      </c>
      <c r="G5" s="67">
        <v>424</v>
      </c>
      <c r="H5" s="67">
        <v>425</v>
      </c>
      <c r="I5" s="19"/>
      <c r="J5" s="19"/>
      <c r="K5" s="27">
        <v>386</v>
      </c>
      <c r="L5" s="28">
        <f t="shared" si="0"/>
        <v>2496</v>
      </c>
      <c r="M5" s="17">
        <v>3</v>
      </c>
      <c r="N5" s="17">
        <v>5</v>
      </c>
      <c r="O5" s="17">
        <v>-20</v>
      </c>
      <c r="P5" s="17">
        <v>0</v>
      </c>
    </row>
    <row r="6" spans="1:16" s="41" customFormat="1" ht="15.75">
      <c r="A6" s="20" t="s">
        <v>147</v>
      </c>
      <c r="B6" s="39" t="s">
        <v>16</v>
      </c>
      <c r="C6" s="68">
        <v>430</v>
      </c>
      <c r="D6" s="20"/>
      <c r="E6" s="20">
        <v>417</v>
      </c>
      <c r="F6" s="20"/>
      <c r="G6" s="20">
        <v>418</v>
      </c>
      <c r="H6" s="68">
        <v>448</v>
      </c>
      <c r="I6" s="20">
        <v>390</v>
      </c>
      <c r="J6" s="20"/>
      <c r="K6" s="57">
        <v>393</v>
      </c>
      <c r="L6" s="49">
        <f t="shared" si="0"/>
        <v>2496</v>
      </c>
      <c r="M6" s="39">
        <v>2</v>
      </c>
      <c r="N6" s="39">
        <v>6</v>
      </c>
      <c r="O6" s="39">
        <v>-86</v>
      </c>
      <c r="P6" s="39">
        <v>0</v>
      </c>
    </row>
    <row r="7" spans="1:16" s="38" customFormat="1" ht="15.75">
      <c r="A7" s="19" t="s">
        <v>148</v>
      </c>
      <c r="B7" s="17" t="s">
        <v>14</v>
      </c>
      <c r="C7" s="17"/>
      <c r="D7" s="19">
        <v>375</v>
      </c>
      <c r="E7" s="67">
        <v>443</v>
      </c>
      <c r="F7" s="67">
        <v>444</v>
      </c>
      <c r="G7" s="19">
        <v>407</v>
      </c>
      <c r="H7" s="67">
        <v>463</v>
      </c>
      <c r="I7" s="19">
        <v>370</v>
      </c>
      <c r="J7" s="19"/>
      <c r="K7" s="27"/>
      <c r="L7" s="28">
        <f t="shared" si="0"/>
        <v>2502</v>
      </c>
      <c r="M7" s="17">
        <v>3</v>
      </c>
      <c r="N7" s="17">
        <v>5</v>
      </c>
      <c r="O7" s="17">
        <v>-68</v>
      </c>
      <c r="P7" s="17">
        <v>0</v>
      </c>
    </row>
    <row r="8" spans="1:16" s="41" customFormat="1" ht="15.75">
      <c r="A8" s="20" t="s">
        <v>149</v>
      </c>
      <c r="B8" s="39" t="s">
        <v>13</v>
      </c>
      <c r="C8" s="39">
        <v>405</v>
      </c>
      <c r="D8" s="20">
        <v>379</v>
      </c>
      <c r="E8" s="68">
        <v>481</v>
      </c>
      <c r="F8" s="20">
        <v>409</v>
      </c>
      <c r="G8" s="68">
        <v>432</v>
      </c>
      <c r="H8" s="68">
        <v>432</v>
      </c>
      <c r="I8" s="20"/>
      <c r="J8" s="20"/>
      <c r="K8" s="57"/>
      <c r="L8" s="49">
        <f t="shared" si="0"/>
        <v>2538</v>
      </c>
      <c r="M8" s="39">
        <v>3</v>
      </c>
      <c r="N8" s="39">
        <v>5</v>
      </c>
      <c r="O8" s="49">
        <v>-29</v>
      </c>
      <c r="P8" s="39">
        <v>0</v>
      </c>
    </row>
    <row r="9" spans="1:16" s="38" customFormat="1" ht="15.75">
      <c r="A9" s="19" t="s">
        <v>150</v>
      </c>
      <c r="B9" s="17" t="s">
        <v>12</v>
      </c>
      <c r="C9" s="17">
        <v>405</v>
      </c>
      <c r="D9" s="17"/>
      <c r="E9" s="67">
        <v>436</v>
      </c>
      <c r="F9" s="67">
        <v>424</v>
      </c>
      <c r="G9" s="17">
        <v>396</v>
      </c>
      <c r="H9" s="67">
        <v>451</v>
      </c>
      <c r="I9" s="17"/>
      <c r="J9" s="17"/>
      <c r="K9" s="27">
        <v>376</v>
      </c>
      <c r="L9" s="28">
        <f t="shared" si="0"/>
        <v>2488</v>
      </c>
      <c r="M9" s="17">
        <v>3</v>
      </c>
      <c r="N9" s="17">
        <v>5</v>
      </c>
      <c r="O9" s="17">
        <v>-91</v>
      </c>
      <c r="P9" s="17">
        <v>0</v>
      </c>
    </row>
    <row r="10" spans="1:16" s="41" customFormat="1" ht="15.75">
      <c r="A10" s="20" t="s">
        <v>151</v>
      </c>
      <c r="B10" s="39" t="s">
        <v>11</v>
      </c>
      <c r="C10" s="39">
        <v>402</v>
      </c>
      <c r="D10" s="39"/>
      <c r="E10" s="68">
        <v>471</v>
      </c>
      <c r="F10" s="39">
        <v>402</v>
      </c>
      <c r="G10" s="39">
        <v>427</v>
      </c>
      <c r="H10" s="68">
        <v>430</v>
      </c>
      <c r="I10" s="39">
        <v>324</v>
      </c>
      <c r="J10" s="39"/>
      <c r="K10" s="57"/>
      <c r="L10" s="49">
        <f t="shared" si="0"/>
        <v>2456</v>
      </c>
      <c r="M10" s="39">
        <v>2</v>
      </c>
      <c r="N10" s="39">
        <v>6</v>
      </c>
      <c r="O10" s="39">
        <v>-225</v>
      </c>
      <c r="P10" s="39">
        <v>0</v>
      </c>
    </row>
    <row r="11" spans="1:16" s="38" customFormat="1" ht="15.75">
      <c r="A11" s="19" t="s">
        <v>152</v>
      </c>
      <c r="B11" s="17" t="s">
        <v>10</v>
      </c>
      <c r="C11" s="67">
        <v>442</v>
      </c>
      <c r="D11" s="17"/>
      <c r="E11" s="67">
        <v>446</v>
      </c>
      <c r="F11" s="17">
        <v>405</v>
      </c>
      <c r="G11" s="67">
        <v>423</v>
      </c>
      <c r="H11" s="67">
        <v>442</v>
      </c>
      <c r="I11" s="17"/>
      <c r="J11" s="17">
        <v>408</v>
      </c>
      <c r="K11" s="27"/>
      <c r="L11" s="28">
        <f t="shared" si="0"/>
        <v>2566</v>
      </c>
      <c r="M11" s="17">
        <v>6</v>
      </c>
      <c r="N11" s="17">
        <v>2</v>
      </c>
      <c r="O11" s="17">
        <v>190</v>
      </c>
      <c r="P11" s="17">
        <v>2</v>
      </c>
    </row>
    <row r="12" spans="1:17" ht="15.75">
      <c r="A12" s="12" t="s">
        <v>153</v>
      </c>
      <c r="B12" s="1" t="s">
        <v>9</v>
      </c>
      <c r="C12" s="15"/>
      <c r="D12" s="15"/>
      <c r="E12" s="15"/>
      <c r="F12" s="15"/>
      <c r="G12" s="15"/>
      <c r="H12" s="15"/>
      <c r="I12" s="15"/>
      <c r="J12" s="15"/>
      <c r="K12" s="16"/>
      <c r="L12" s="7">
        <f t="shared" si="0"/>
        <v>0</v>
      </c>
      <c r="Q12"/>
    </row>
    <row r="13" spans="1:16" s="38" customFormat="1" ht="15.75">
      <c r="A13" s="19" t="s">
        <v>154</v>
      </c>
      <c r="B13" s="17" t="s">
        <v>8</v>
      </c>
      <c r="C13" s="17">
        <v>414</v>
      </c>
      <c r="D13" s="17"/>
      <c r="E13" s="67">
        <v>467</v>
      </c>
      <c r="F13" s="67">
        <v>442</v>
      </c>
      <c r="G13" s="67">
        <v>444</v>
      </c>
      <c r="H13" s="67">
        <v>446</v>
      </c>
      <c r="I13" s="17">
        <v>380</v>
      </c>
      <c r="J13" s="17"/>
      <c r="K13" s="27"/>
      <c r="L13" s="28">
        <f t="shared" si="0"/>
        <v>2593</v>
      </c>
      <c r="M13" s="17">
        <v>6</v>
      </c>
      <c r="N13" s="17">
        <v>2</v>
      </c>
      <c r="O13" s="17">
        <v>84</v>
      </c>
      <c r="P13" s="17">
        <v>2</v>
      </c>
    </row>
    <row r="14" spans="1:16" s="41" customFormat="1" ht="15.75">
      <c r="A14" s="20" t="s">
        <v>155</v>
      </c>
      <c r="B14" s="39" t="s">
        <v>0</v>
      </c>
      <c r="C14" s="68">
        <v>452</v>
      </c>
      <c r="D14" s="39"/>
      <c r="E14" s="39">
        <v>419</v>
      </c>
      <c r="F14" s="39">
        <v>384</v>
      </c>
      <c r="G14" s="68">
        <v>431</v>
      </c>
      <c r="H14" s="68">
        <v>473</v>
      </c>
      <c r="I14" s="39">
        <v>375</v>
      </c>
      <c r="J14" s="39"/>
      <c r="K14" s="57"/>
      <c r="L14" s="49">
        <f t="shared" si="0"/>
        <v>2534</v>
      </c>
      <c r="M14" s="39">
        <v>3</v>
      </c>
      <c r="N14" s="39">
        <v>5</v>
      </c>
      <c r="O14" s="39">
        <v>-6</v>
      </c>
      <c r="P14" s="39">
        <v>0</v>
      </c>
    </row>
    <row r="15" spans="1:16" s="38" customFormat="1" ht="15.75">
      <c r="A15" s="19" t="s">
        <v>156</v>
      </c>
      <c r="B15" s="17" t="s">
        <v>1</v>
      </c>
      <c r="C15" s="67">
        <v>419</v>
      </c>
      <c r="D15" s="17">
        <v>401</v>
      </c>
      <c r="E15" s="67">
        <v>437</v>
      </c>
      <c r="F15" s="17">
        <v>367</v>
      </c>
      <c r="G15" s="17"/>
      <c r="H15" s="17">
        <v>411</v>
      </c>
      <c r="I15" s="17"/>
      <c r="J15" s="17">
        <v>382</v>
      </c>
      <c r="K15" s="27"/>
      <c r="L15" s="28">
        <f t="shared" si="0"/>
        <v>2417</v>
      </c>
      <c r="M15" s="17">
        <v>2</v>
      </c>
      <c r="N15" s="17">
        <v>6</v>
      </c>
      <c r="O15" s="17">
        <v>-132</v>
      </c>
      <c r="P15" s="17">
        <v>0</v>
      </c>
    </row>
    <row r="16" spans="1:16" s="38" customFormat="1" ht="15.75">
      <c r="A16" s="19" t="s">
        <v>157</v>
      </c>
      <c r="B16" s="17" t="s">
        <v>2</v>
      </c>
      <c r="C16" s="67">
        <v>423</v>
      </c>
      <c r="D16" s="17">
        <v>378</v>
      </c>
      <c r="E16" s="67">
        <v>432</v>
      </c>
      <c r="F16" s="17">
        <v>387</v>
      </c>
      <c r="G16" s="17">
        <v>393</v>
      </c>
      <c r="H16" s="67">
        <v>446</v>
      </c>
      <c r="I16" s="17"/>
      <c r="J16" s="17"/>
      <c r="K16" s="27"/>
      <c r="L16" s="28">
        <f t="shared" si="0"/>
        <v>2459</v>
      </c>
      <c r="M16" s="17">
        <v>5</v>
      </c>
      <c r="N16" s="17">
        <v>3</v>
      </c>
      <c r="O16" s="17">
        <v>4</v>
      </c>
      <c r="P16" s="17">
        <v>2</v>
      </c>
    </row>
    <row r="17" spans="1:16" s="41" customFormat="1" ht="15.75">
      <c r="A17" s="20" t="s">
        <v>158</v>
      </c>
      <c r="B17" s="39" t="s">
        <v>6</v>
      </c>
      <c r="C17" s="68">
        <v>427</v>
      </c>
      <c r="D17" s="39"/>
      <c r="E17" s="68">
        <v>439</v>
      </c>
      <c r="F17" s="39">
        <v>403</v>
      </c>
      <c r="G17" s="68">
        <v>456</v>
      </c>
      <c r="H17" s="68">
        <v>440</v>
      </c>
      <c r="I17" s="39">
        <v>408</v>
      </c>
      <c r="J17" s="39"/>
      <c r="K17" s="57"/>
      <c r="L17" s="49">
        <f t="shared" si="0"/>
        <v>2573</v>
      </c>
      <c r="M17" s="39">
        <v>6</v>
      </c>
      <c r="N17" s="39">
        <v>2</v>
      </c>
      <c r="O17" s="39">
        <v>144</v>
      </c>
      <c r="P17" s="39">
        <v>2</v>
      </c>
    </row>
    <row r="18" spans="1:16" s="38" customFormat="1" ht="16.5" thickBot="1">
      <c r="A18" s="19" t="s">
        <v>159</v>
      </c>
      <c r="B18" s="17" t="s">
        <v>5</v>
      </c>
      <c r="C18" s="97">
        <v>455</v>
      </c>
      <c r="D18" s="42"/>
      <c r="E18" s="97">
        <v>430</v>
      </c>
      <c r="F18" s="42">
        <v>391</v>
      </c>
      <c r="G18" s="42"/>
      <c r="H18" s="97">
        <v>435</v>
      </c>
      <c r="I18" s="42">
        <v>367</v>
      </c>
      <c r="J18" s="42"/>
      <c r="K18" s="51">
        <v>382</v>
      </c>
      <c r="L18" s="47">
        <f>SUM(C18:K18)</f>
        <v>2460</v>
      </c>
      <c r="M18" s="42">
        <v>3</v>
      </c>
      <c r="N18" s="42">
        <v>5</v>
      </c>
      <c r="O18" s="42">
        <v>-6</v>
      </c>
      <c r="P18" s="42">
        <v>0</v>
      </c>
    </row>
    <row r="19" spans="3:17" ht="16.5" thickTop="1">
      <c r="C19" s="7">
        <f>SUM(C4:C18)</f>
        <v>5477</v>
      </c>
      <c r="D19" s="7">
        <f aca="true" t="shared" si="1" ref="D19:K19">SUM(D4:D18)</f>
        <v>1533</v>
      </c>
      <c r="E19" s="7">
        <f t="shared" si="1"/>
        <v>5747</v>
      </c>
      <c r="F19" s="7">
        <f t="shared" si="1"/>
        <v>5279</v>
      </c>
      <c r="G19" s="7">
        <f t="shared" si="1"/>
        <v>5071</v>
      </c>
      <c r="H19" s="7">
        <f t="shared" si="1"/>
        <v>6190</v>
      </c>
      <c r="I19" s="7">
        <f t="shared" si="1"/>
        <v>2980</v>
      </c>
      <c r="J19" s="7">
        <f t="shared" si="1"/>
        <v>790</v>
      </c>
      <c r="K19" s="7">
        <f t="shared" si="1"/>
        <v>1924</v>
      </c>
      <c r="Q19"/>
    </row>
    <row r="20" spans="2:17" ht="33" customHeight="1">
      <c r="B20" s="93" t="s">
        <v>206</v>
      </c>
      <c r="C20" s="94">
        <f>C19/13</f>
        <v>421.3076923076923</v>
      </c>
      <c r="D20" s="94">
        <f>D19/4</f>
        <v>383.25</v>
      </c>
      <c r="E20" s="94">
        <f>E19/13</f>
        <v>442.0769230769231</v>
      </c>
      <c r="F20" s="94">
        <f>F19/13</f>
        <v>406.0769230769231</v>
      </c>
      <c r="G20" s="94">
        <f>G19/12</f>
        <v>422.5833333333333</v>
      </c>
      <c r="H20" s="94">
        <f>H19/14</f>
        <v>442.14285714285717</v>
      </c>
      <c r="I20" s="94">
        <f>I19/8</f>
        <v>372.5</v>
      </c>
      <c r="J20" s="94">
        <f>J19/2</f>
        <v>395</v>
      </c>
      <c r="K20" s="94">
        <f>K19/5</f>
        <v>384.8</v>
      </c>
      <c r="M20" s="3" t="s">
        <v>24</v>
      </c>
      <c r="N20" s="101" t="s">
        <v>135</v>
      </c>
      <c r="O20" s="101"/>
      <c r="P20" s="3" t="s">
        <v>25</v>
      </c>
      <c r="Q20" s="13" t="s">
        <v>136</v>
      </c>
    </row>
    <row r="21" spans="13:17" ht="15.75">
      <c r="M21" s="7">
        <f>SUM(L4:L18)</f>
        <v>34991</v>
      </c>
      <c r="N21" s="1">
        <f>SUM(M4:M18)+49</f>
        <v>100</v>
      </c>
      <c r="O21" s="1">
        <f>SUM(N4:N18)+63</f>
        <v>124</v>
      </c>
      <c r="P21" s="1">
        <f>SUM(O4:O18)</f>
        <v>-220</v>
      </c>
      <c r="Q21" s="1">
        <f>SUM(P4:P18)+10</f>
        <v>19</v>
      </c>
    </row>
    <row r="22" spans="3:4" ht="15.75">
      <c r="C22" s="103" t="s">
        <v>39</v>
      </c>
      <c r="D22" s="103"/>
    </row>
    <row r="23" spans="3:15" ht="15.75">
      <c r="C23" s="104" t="s">
        <v>160</v>
      </c>
      <c r="D23" s="104"/>
      <c r="N23" s="106" t="s">
        <v>170</v>
      </c>
      <c r="O23" s="106"/>
    </row>
    <row r="24" spans="3:15" ht="15.75">
      <c r="C24" s="105" t="s">
        <v>161</v>
      </c>
      <c r="D24" s="105"/>
      <c r="N24" s="107">
        <f>N21-O21</f>
        <v>-24</v>
      </c>
      <c r="O24" s="107"/>
    </row>
    <row r="26" spans="3:20" ht="15.75">
      <c r="C26" s="29" t="s">
        <v>162</v>
      </c>
      <c r="R26" s="2"/>
      <c r="S26" s="2"/>
      <c r="T26" s="2"/>
    </row>
    <row r="27" spans="2:20" ht="19.5" customHeight="1">
      <c r="B27" s="3" t="s">
        <v>163</v>
      </c>
      <c r="C27" s="3" t="s">
        <v>164</v>
      </c>
      <c r="D27" s="3" t="s">
        <v>165</v>
      </c>
      <c r="E27" s="3" t="s">
        <v>166</v>
      </c>
      <c r="F27" s="101" t="s">
        <v>135</v>
      </c>
      <c r="G27" s="101"/>
      <c r="H27" s="101" t="s">
        <v>182</v>
      </c>
      <c r="I27" s="101"/>
      <c r="J27" s="102" t="s">
        <v>136</v>
      </c>
      <c r="K27" s="102"/>
      <c r="R27" s="2"/>
      <c r="S27" s="2"/>
      <c r="T27" s="2"/>
    </row>
    <row r="28" spans="2:20" ht="15.75">
      <c r="B28" s="1">
        <v>12</v>
      </c>
      <c r="C28" s="1">
        <v>5</v>
      </c>
      <c r="E28" s="1">
        <v>9</v>
      </c>
      <c r="F28" s="1">
        <v>49</v>
      </c>
      <c r="G28" s="1">
        <v>63</v>
      </c>
      <c r="H28" s="109">
        <v>2477</v>
      </c>
      <c r="I28" s="109"/>
      <c r="J28" s="109">
        <v>10</v>
      </c>
      <c r="K28" s="109"/>
      <c r="M28" s="101" t="s">
        <v>182</v>
      </c>
      <c r="N28" s="101"/>
      <c r="O28" s="7">
        <f>AVERAGE(L4,L5,L6,L7,L8,L10,L11,L9,L13,L15,L16,L14,L17,L18)</f>
        <v>2499.3571428571427</v>
      </c>
      <c r="R28" s="2"/>
      <c r="S28" s="2"/>
      <c r="T28" s="2"/>
    </row>
    <row r="29" spans="3:20" ht="15.75">
      <c r="C29" s="29" t="s">
        <v>167</v>
      </c>
      <c r="R29" s="2"/>
      <c r="S29" s="2"/>
      <c r="T29" s="2"/>
    </row>
    <row r="30" spans="3:20" ht="34.5" customHeight="1">
      <c r="C30" s="3" t="s">
        <v>164</v>
      </c>
      <c r="D30" s="3" t="s">
        <v>165</v>
      </c>
      <c r="E30" s="3" t="s">
        <v>166</v>
      </c>
      <c r="F30" s="101" t="s">
        <v>135</v>
      </c>
      <c r="G30" s="101"/>
      <c r="H30" s="101" t="s">
        <v>24</v>
      </c>
      <c r="I30" s="101"/>
      <c r="J30" s="102" t="s">
        <v>168</v>
      </c>
      <c r="K30" s="102"/>
      <c r="R30" s="2"/>
      <c r="S30" s="2"/>
      <c r="T30" s="2"/>
    </row>
    <row r="31" spans="3:20" ht="15.75">
      <c r="C31" s="1">
        <v>3</v>
      </c>
      <c r="E31" s="1">
        <v>5</v>
      </c>
      <c r="F31" s="1">
        <f>M5+M7+M9+M11+M13+M15+M16+M18</f>
        <v>31</v>
      </c>
      <c r="G31" s="1">
        <f>N5+N7+N9+N11+N13+N15+N16+N18</f>
        <v>33</v>
      </c>
      <c r="H31" s="108">
        <f>L5+L7+L9+L11+L13+L15+L16+L18</f>
        <v>19981</v>
      </c>
      <c r="I31" s="109"/>
      <c r="J31" s="109">
        <f>P5+P7+P9+P11+P13+P15+P16+P18</f>
        <v>6</v>
      </c>
      <c r="K31" s="109"/>
      <c r="R31" s="2"/>
      <c r="S31" s="2"/>
      <c r="T31" s="2"/>
    </row>
    <row r="32" spans="3:20" ht="15.75">
      <c r="C32" s="29" t="s">
        <v>169</v>
      </c>
      <c r="R32" s="2"/>
      <c r="S32" s="2"/>
      <c r="T32" s="2"/>
    </row>
    <row r="33" spans="3:20" ht="29.25" customHeight="1">
      <c r="C33" s="3" t="s">
        <v>164</v>
      </c>
      <c r="D33" s="3" t="s">
        <v>165</v>
      </c>
      <c r="E33" s="3" t="s">
        <v>166</v>
      </c>
      <c r="F33" s="101" t="s">
        <v>135</v>
      </c>
      <c r="G33" s="101"/>
      <c r="H33" s="101" t="s">
        <v>24</v>
      </c>
      <c r="I33" s="101"/>
      <c r="J33" s="102" t="s">
        <v>168</v>
      </c>
      <c r="K33" s="102"/>
      <c r="R33" s="2"/>
      <c r="S33" s="2"/>
      <c r="T33" s="2"/>
    </row>
    <row r="34" spans="3:20" ht="15.75">
      <c r="C34" s="1">
        <v>1</v>
      </c>
      <c r="D34" s="1">
        <v>1</v>
      </c>
      <c r="E34" s="1">
        <v>4</v>
      </c>
      <c r="F34" s="7">
        <f>M4+M6+M8+M10+M14+M17</f>
        <v>20</v>
      </c>
      <c r="G34" s="7">
        <f>N4+N6+N8+N10+N14+N17</f>
        <v>28</v>
      </c>
      <c r="H34" s="108">
        <f>L4+L6+L8+L10+L14+L17</f>
        <v>15010</v>
      </c>
      <c r="I34" s="109"/>
      <c r="J34" s="108">
        <f>P4+P6+P8+P10+P14+P17</f>
        <v>3</v>
      </c>
      <c r="K34" s="109"/>
      <c r="R34" s="2"/>
      <c r="S34" s="2"/>
      <c r="T34" s="2"/>
    </row>
  </sheetData>
  <mergeCells count="26">
    <mergeCell ref="M28:N28"/>
    <mergeCell ref="M2:N2"/>
    <mergeCell ref="C2:K2"/>
    <mergeCell ref="J30:K30"/>
    <mergeCell ref="F27:G27"/>
    <mergeCell ref="H27:I27"/>
    <mergeCell ref="J27:K27"/>
    <mergeCell ref="N24:O24"/>
    <mergeCell ref="C24:D24"/>
    <mergeCell ref="H34:I34"/>
    <mergeCell ref="J34:K34"/>
    <mergeCell ref="H31:I31"/>
    <mergeCell ref="J31:K31"/>
    <mergeCell ref="F33:G33"/>
    <mergeCell ref="H33:I33"/>
    <mergeCell ref="J33:K33"/>
    <mergeCell ref="H28:I28"/>
    <mergeCell ref="J28:K28"/>
    <mergeCell ref="F30:G30"/>
    <mergeCell ref="H30:I30"/>
    <mergeCell ref="C1:L1"/>
    <mergeCell ref="N1:O1"/>
    <mergeCell ref="C23:D23"/>
    <mergeCell ref="N20:O20"/>
    <mergeCell ref="C22:D22"/>
    <mergeCell ref="N23:O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9" sqref="H29:I2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0.00390625" style="1" customWidth="1"/>
    <col min="5" max="11" width="9.125" style="1" customWidth="1"/>
    <col min="12" max="12" width="15.875" style="1" bestFit="1" customWidth="1"/>
    <col min="13" max="13" width="10.375" style="1" bestFit="1" customWidth="1"/>
    <col min="14" max="14" width="13.25390625" style="1" customWidth="1"/>
    <col min="15" max="15" width="13.625" style="1" bestFit="1" customWidth="1"/>
    <col min="16" max="16" width="11.25390625" style="1" bestFit="1" customWidth="1"/>
    <col min="17" max="17" width="13.625" style="1" bestFit="1" customWidth="1"/>
    <col min="18" max="18" width="11.875" style="1" customWidth="1"/>
  </cols>
  <sheetData>
    <row r="1" spans="3:21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3"/>
      <c r="M1" s="101" t="s">
        <v>22</v>
      </c>
      <c r="N1" s="101"/>
      <c r="S1" s="2"/>
      <c r="T1" s="2"/>
      <c r="U1" s="2"/>
    </row>
    <row r="2" spans="2:18" ht="32.25" thickBot="1">
      <c r="B2" s="3" t="s">
        <v>15</v>
      </c>
      <c r="C2" s="11" t="s">
        <v>90</v>
      </c>
      <c r="D2" s="11" t="s">
        <v>91</v>
      </c>
      <c r="E2" s="11" t="s">
        <v>92</v>
      </c>
      <c r="F2" s="11" t="s">
        <v>93</v>
      </c>
      <c r="G2" s="11" t="s">
        <v>94</v>
      </c>
      <c r="H2" s="11" t="s">
        <v>95</v>
      </c>
      <c r="I2" s="66" t="s">
        <v>178</v>
      </c>
      <c r="J2" s="11" t="s">
        <v>202</v>
      </c>
      <c r="K2" s="11" t="s">
        <v>196</v>
      </c>
      <c r="L2" s="3" t="s">
        <v>24</v>
      </c>
      <c r="M2" s="3" t="s">
        <v>5</v>
      </c>
      <c r="N2" s="3" t="s">
        <v>23</v>
      </c>
      <c r="O2" s="3" t="s">
        <v>25</v>
      </c>
      <c r="P2" s="13" t="s">
        <v>134</v>
      </c>
      <c r="Q2"/>
      <c r="R2"/>
    </row>
    <row r="3" spans="1:16" s="38" customFormat="1" ht="15.75">
      <c r="A3" s="19" t="s">
        <v>145</v>
      </c>
      <c r="B3" s="17" t="s">
        <v>6</v>
      </c>
      <c r="C3" s="67">
        <v>453</v>
      </c>
      <c r="D3" s="67">
        <v>448</v>
      </c>
      <c r="E3" s="67">
        <v>441</v>
      </c>
      <c r="F3" s="19"/>
      <c r="G3" s="19">
        <v>419</v>
      </c>
      <c r="H3" s="19">
        <v>413</v>
      </c>
      <c r="I3" s="67">
        <v>422</v>
      </c>
      <c r="J3" s="19"/>
      <c r="K3" s="27"/>
      <c r="L3" s="28">
        <f aca="true" t="shared" si="0" ref="L3:L17">SUM(C3:K3)</f>
        <v>2596</v>
      </c>
      <c r="M3" s="17">
        <v>6</v>
      </c>
      <c r="N3" s="17">
        <v>2</v>
      </c>
      <c r="O3" s="17">
        <v>296</v>
      </c>
      <c r="P3" s="17">
        <v>2</v>
      </c>
    </row>
    <row r="4" spans="1:16" s="38" customFormat="1" ht="15.75">
      <c r="A4" s="19" t="s">
        <v>146</v>
      </c>
      <c r="B4" s="17" t="s">
        <v>2</v>
      </c>
      <c r="C4" s="67">
        <v>435</v>
      </c>
      <c r="D4" s="67">
        <v>463</v>
      </c>
      <c r="E4" s="19">
        <v>412</v>
      </c>
      <c r="F4" s="67">
        <v>448</v>
      </c>
      <c r="G4" s="19">
        <v>403</v>
      </c>
      <c r="H4" s="67">
        <v>427</v>
      </c>
      <c r="I4" s="17"/>
      <c r="J4" s="19"/>
      <c r="K4" s="27"/>
      <c r="L4" s="28">
        <f t="shared" si="0"/>
        <v>2588</v>
      </c>
      <c r="M4" s="17">
        <v>6</v>
      </c>
      <c r="N4" s="17">
        <v>2</v>
      </c>
      <c r="O4" s="17">
        <v>250</v>
      </c>
      <c r="P4" s="17">
        <v>2</v>
      </c>
    </row>
    <row r="5" spans="1:16" s="41" customFormat="1" ht="15.75">
      <c r="A5" s="20" t="s">
        <v>147</v>
      </c>
      <c r="B5" s="39" t="s">
        <v>4</v>
      </c>
      <c r="C5" s="68">
        <v>412</v>
      </c>
      <c r="D5" s="68">
        <v>469</v>
      </c>
      <c r="E5" s="68">
        <v>425</v>
      </c>
      <c r="F5" s="20">
        <v>379</v>
      </c>
      <c r="G5" s="20">
        <v>377</v>
      </c>
      <c r="H5" s="68">
        <v>399</v>
      </c>
      <c r="I5" s="39"/>
      <c r="J5" s="20"/>
      <c r="K5" s="57"/>
      <c r="L5" s="49">
        <f t="shared" si="0"/>
        <v>2461</v>
      </c>
      <c r="M5" s="39">
        <v>6</v>
      </c>
      <c r="N5" s="39">
        <v>2</v>
      </c>
      <c r="O5" s="39">
        <v>106</v>
      </c>
      <c r="P5" s="39">
        <v>2</v>
      </c>
    </row>
    <row r="6" spans="1:16" s="38" customFormat="1" ht="15.75">
      <c r="A6" s="19" t="s">
        <v>148</v>
      </c>
      <c r="B6" s="17" t="s">
        <v>3</v>
      </c>
      <c r="C6" s="67">
        <v>450</v>
      </c>
      <c r="D6" s="67">
        <v>432</v>
      </c>
      <c r="E6" s="19">
        <v>425</v>
      </c>
      <c r="F6" s="19">
        <v>398</v>
      </c>
      <c r="G6" s="19">
        <v>403</v>
      </c>
      <c r="H6" s="67">
        <v>439</v>
      </c>
      <c r="I6" s="17"/>
      <c r="J6" s="19"/>
      <c r="K6" s="27"/>
      <c r="L6" s="28">
        <f t="shared" si="0"/>
        <v>2547</v>
      </c>
      <c r="M6" s="17">
        <v>3</v>
      </c>
      <c r="N6" s="17">
        <v>5</v>
      </c>
      <c r="O6" s="17">
        <v>-78</v>
      </c>
      <c r="P6" s="17">
        <v>0</v>
      </c>
    </row>
    <row r="7" spans="1:16" s="41" customFormat="1" ht="15.75">
      <c r="A7" s="20" t="s">
        <v>149</v>
      </c>
      <c r="B7" s="39" t="s">
        <v>16</v>
      </c>
      <c r="C7" s="39">
        <v>404</v>
      </c>
      <c r="D7" s="68">
        <v>428</v>
      </c>
      <c r="E7" s="39">
        <v>422</v>
      </c>
      <c r="F7" s="68">
        <v>437</v>
      </c>
      <c r="G7" s="39"/>
      <c r="H7" s="39">
        <v>421</v>
      </c>
      <c r="I7" s="39"/>
      <c r="J7" s="20"/>
      <c r="K7" s="57">
        <v>307</v>
      </c>
      <c r="L7" s="49">
        <f t="shared" si="0"/>
        <v>2419</v>
      </c>
      <c r="M7" s="39">
        <v>2</v>
      </c>
      <c r="N7" s="39">
        <v>6</v>
      </c>
      <c r="O7" s="39">
        <v>-216</v>
      </c>
      <c r="P7" s="39">
        <v>0</v>
      </c>
    </row>
    <row r="8" spans="1:16" s="38" customFormat="1" ht="15.75">
      <c r="A8" s="19" t="s">
        <v>150</v>
      </c>
      <c r="B8" s="17" t="s">
        <v>14</v>
      </c>
      <c r="C8" s="67">
        <v>439</v>
      </c>
      <c r="D8" s="17">
        <v>434</v>
      </c>
      <c r="E8" s="67">
        <v>469</v>
      </c>
      <c r="F8" s="17">
        <v>433</v>
      </c>
      <c r="G8" s="17"/>
      <c r="H8" s="17">
        <v>391</v>
      </c>
      <c r="I8" s="67">
        <v>474</v>
      </c>
      <c r="J8" s="19"/>
      <c r="K8" s="27"/>
      <c r="L8" s="28">
        <f t="shared" si="0"/>
        <v>2640</v>
      </c>
      <c r="M8" s="17">
        <v>3</v>
      </c>
      <c r="N8" s="17">
        <v>5</v>
      </c>
      <c r="O8" s="17">
        <v>-8</v>
      </c>
      <c r="P8" s="17">
        <v>0</v>
      </c>
    </row>
    <row r="9" spans="1:16" s="41" customFormat="1" ht="15.75">
      <c r="A9" s="20" t="s">
        <v>151</v>
      </c>
      <c r="B9" s="39" t="s">
        <v>13</v>
      </c>
      <c r="C9" s="68">
        <v>438</v>
      </c>
      <c r="D9" s="68">
        <v>448</v>
      </c>
      <c r="E9" s="39">
        <v>406</v>
      </c>
      <c r="F9" s="39">
        <v>407</v>
      </c>
      <c r="G9" s="39"/>
      <c r="H9" s="68">
        <v>446</v>
      </c>
      <c r="I9" s="39">
        <v>428</v>
      </c>
      <c r="J9" s="39"/>
      <c r="K9" s="57"/>
      <c r="L9" s="49">
        <f t="shared" si="0"/>
        <v>2573</v>
      </c>
      <c r="M9" s="39">
        <v>3</v>
      </c>
      <c r="N9" s="39">
        <v>5</v>
      </c>
      <c r="O9" s="39">
        <v>-76</v>
      </c>
      <c r="P9" s="39">
        <v>0</v>
      </c>
    </row>
    <row r="10" spans="1:16" s="38" customFormat="1" ht="15.75">
      <c r="A10" s="19" t="s">
        <v>152</v>
      </c>
      <c r="B10" s="17" t="s">
        <v>12</v>
      </c>
      <c r="C10" s="17">
        <v>437</v>
      </c>
      <c r="D10" s="67">
        <v>466</v>
      </c>
      <c r="E10" s="17">
        <v>434</v>
      </c>
      <c r="F10" s="67">
        <v>448</v>
      </c>
      <c r="H10" s="67">
        <v>442</v>
      </c>
      <c r="I10" s="17"/>
      <c r="J10" s="67">
        <v>484</v>
      </c>
      <c r="K10" s="27"/>
      <c r="L10" s="28">
        <f t="shared" si="0"/>
        <v>2711</v>
      </c>
      <c r="M10" s="17">
        <v>6</v>
      </c>
      <c r="N10" s="17">
        <v>2</v>
      </c>
      <c r="O10" s="17">
        <v>179</v>
      </c>
      <c r="P10" s="17">
        <v>2</v>
      </c>
    </row>
    <row r="11" spans="1:16" s="41" customFormat="1" ht="15.75">
      <c r="A11" s="20" t="s">
        <v>153</v>
      </c>
      <c r="B11" s="39" t="s">
        <v>11</v>
      </c>
      <c r="C11" s="39">
        <v>423</v>
      </c>
      <c r="D11" s="68">
        <v>469</v>
      </c>
      <c r="E11" s="39">
        <v>430</v>
      </c>
      <c r="F11" s="39">
        <v>438</v>
      </c>
      <c r="G11" s="39"/>
      <c r="H11" s="39">
        <v>385</v>
      </c>
      <c r="I11" s="39"/>
      <c r="J11" s="68">
        <v>460</v>
      </c>
      <c r="K11" s="57"/>
      <c r="L11" s="49">
        <f t="shared" si="0"/>
        <v>2605</v>
      </c>
      <c r="M11" s="39">
        <v>2</v>
      </c>
      <c r="N11" s="39">
        <v>6</v>
      </c>
      <c r="O11" s="39">
        <v>-62</v>
      </c>
      <c r="P11" s="39">
        <v>0</v>
      </c>
    </row>
    <row r="12" spans="1:16" s="38" customFormat="1" ht="15.75">
      <c r="A12" s="19" t="s">
        <v>154</v>
      </c>
      <c r="B12" s="17" t="s">
        <v>10</v>
      </c>
      <c r="C12" s="17">
        <v>405</v>
      </c>
      <c r="D12" s="17"/>
      <c r="E12" s="67">
        <v>452</v>
      </c>
      <c r="F12" s="67">
        <v>436</v>
      </c>
      <c r="G12" s="67">
        <v>438</v>
      </c>
      <c r="H12" s="67">
        <v>430</v>
      </c>
      <c r="I12" s="67">
        <v>418</v>
      </c>
      <c r="J12" s="17"/>
      <c r="K12" s="27"/>
      <c r="L12" s="28">
        <f t="shared" si="0"/>
        <v>2579</v>
      </c>
      <c r="M12" s="17">
        <v>7</v>
      </c>
      <c r="N12" s="17">
        <v>1</v>
      </c>
      <c r="O12" s="17">
        <v>250</v>
      </c>
      <c r="P12" s="17">
        <v>2</v>
      </c>
    </row>
    <row r="13" spans="1:18" ht="15.75">
      <c r="A13" s="12" t="s">
        <v>155</v>
      </c>
      <c r="B13" s="1" t="s">
        <v>9</v>
      </c>
      <c r="C13" s="15"/>
      <c r="D13" s="15"/>
      <c r="E13" s="15"/>
      <c r="F13" s="15"/>
      <c r="G13" s="15"/>
      <c r="H13" s="15"/>
      <c r="I13" s="15"/>
      <c r="J13" s="15"/>
      <c r="K13" s="16"/>
      <c r="L13" s="7">
        <f t="shared" si="0"/>
        <v>0</v>
      </c>
      <c r="Q13"/>
      <c r="R13"/>
    </row>
    <row r="14" spans="1:16" s="38" customFormat="1" ht="15.75">
      <c r="A14" s="19" t="s">
        <v>156</v>
      </c>
      <c r="B14" s="17" t="s">
        <v>8</v>
      </c>
      <c r="C14" s="17">
        <v>213</v>
      </c>
      <c r="D14" s="17">
        <v>424</v>
      </c>
      <c r="E14" s="17">
        <v>416</v>
      </c>
      <c r="F14" s="17">
        <v>210</v>
      </c>
      <c r="G14" s="17">
        <v>406</v>
      </c>
      <c r="H14" s="67">
        <v>450</v>
      </c>
      <c r="I14" s="17"/>
      <c r="J14" s="67">
        <v>448</v>
      </c>
      <c r="K14" s="27"/>
      <c r="L14" s="28">
        <f t="shared" si="0"/>
        <v>2567</v>
      </c>
      <c r="M14" s="17">
        <v>2</v>
      </c>
      <c r="N14" s="17">
        <v>6</v>
      </c>
      <c r="O14" s="17">
        <v>-9</v>
      </c>
      <c r="P14" s="17">
        <v>0</v>
      </c>
    </row>
    <row r="15" spans="1:16" s="41" customFormat="1" ht="15.75">
      <c r="A15" s="20" t="s">
        <v>157</v>
      </c>
      <c r="B15" s="39" t="s">
        <v>0</v>
      </c>
      <c r="C15" s="68">
        <v>420</v>
      </c>
      <c r="D15" s="39">
        <v>397</v>
      </c>
      <c r="E15" s="39">
        <v>405</v>
      </c>
      <c r="F15" s="68">
        <v>422</v>
      </c>
      <c r="G15" s="39">
        <v>382</v>
      </c>
      <c r="H15" s="39"/>
      <c r="I15" s="39"/>
      <c r="J15" s="39"/>
      <c r="K15" s="57">
        <v>364</v>
      </c>
      <c r="L15" s="49">
        <f t="shared" si="0"/>
        <v>2390</v>
      </c>
      <c r="M15" s="39">
        <v>2</v>
      </c>
      <c r="N15" s="39">
        <v>6</v>
      </c>
      <c r="O15" s="39">
        <v>-158</v>
      </c>
      <c r="P15" s="39">
        <v>0</v>
      </c>
    </row>
    <row r="16" spans="1:16" s="38" customFormat="1" ht="15.75">
      <c r="A16" s="19" t="s">
        <v>158</v>
      </c>
      <c r="B16" s="17" t="s">
        <v>1</v>
      </c>
      <c r="C16" s="17">
        <v>414</v>
      </c>
      <c r="D16" s="67">
        <v>458</v>
      </c>
      <c r="E16" s="17">
        <v>419</v>
      </c>
      <c r="F16" s="17">
        <v>425</v>
      </c>
      <c r="G16" s="17">
        <v>431</v>
      </c>
      <c r="H16" s="17"/>
      <c r="I16" s="17"/>
      <c r="J16" s="67">
        <v>454</v>
      </c>
      <c r="K16" s="27"/>
      <c r="L16" s="28">
        <f t="shared" si="0"/>
        <v>2601</v>
      </c>
      <c r="M16" s="17">
        <v>2</v>
      </c>
      <c r="N16" s="17">
        <v>6</v>
      </c>
      <c r="O16" s="17">
        <v>-48</v>
      </c>
      <c r="P16" s="17">
        <v>0</v>
      </c>
    </row>
    <row r="17" spans="1:16" s="41" customFormat="1" ht="16.5" thickBot="1">
      <c r="A17" s="20" t="s">
        <v>159</v>
      </c>
      <c r="B17" s="39" t="s">
        <v>18</v>
      </c>
      <c r="C17" s="58">
        <v>395</v>
      </c>
      <c r="D17" s="95">
        <v>409</v>
      </c>
      <c r="E17" s="58">
        <v>397</v>
      </c>
      <c r="F17" s="95">
        <v>425</v>
      </c>
      <c r="G17" s="58">
        <v>399</v>
      </c>
      <c r="H17" s="58"/>
      <c r="I17" s="58"/>
      <c r="J17" s="95">
        <v>441</v>
      </c>
      <c r="K17" s="59"/>
      <c r="L17" s="60">
        <f t="shared" si="0"/>
        <v>2466</v>
      </c>
      <c r="M17" s="58">
        <v>5</v>
      </c>
      <c r="N17" s="58">
        <v>3</v>
      </c>
      <c r="O17" s="58">
        <v>6</v>
      </c>
      <c r="P17" s="58">
        <v>2</v>
      </c>
    </row>
    <row r="18" spans="3:18" ht="16.5" thickTop="1">
      <c r="C18" s="7">
        <f>SUM(C3:C17)</f>
        <v>5738</v>
      </c>
      <c r="D18" s="7">
        <f aca="true" t="shared" si="1" ref="D18:K18">SUM(D3:D17)</f>
        <v>5745</v>
      </c>
      <c r="E18" s="7">
        <f t="shared" si="1"/>
        <v>5953</v>
      </c>
      <c r="F18" s="7">
        <f t="shared" si="1"/>
        <v>5306</v>
      </c>
      <c r="G18" s="7">
        <f t="shared" si="1"/>
        <v>3658</v>
      </c>
      <c r="H18" s="7">
        <f t="shared" si="1"/>
        <v>4643</v>
      </c>
      <c r="I18" s="7">
        <f t="shared" si="1"/>
        <v>1742</v>
      </c>
      <c r="J18" s="7">
        <f t="shared" si="1"/>
        <v>2287</v>
      </c>
      <c r="K18" s="7">
        <f t="shared" si="1"/>
        <v>671</v>
      </c>
      <c r="Q18"/>
      <c r="R18"/>
    </row>
    <row r="19" spans="2:18" ht="33.75" customHeight="1">
      <c r="B19" s="93" t="s">
        <v>206</v>
      </c>
      <c r="C19" s="94">
        <f>C18/13.5</f>
        <v>425.037037037037</v>
      </c>
      <c r="D19" s="94">
        <f>D18/13</f>
        <v>441.9230769230769</v>
      </c>
      <c r="E19" s="94">
        <f>E18/14</f>
        <v>425.2142857142857</v>
      </c>
      <c r="F19" s="94">
        <f>F18/12.5</f>
        <v>424.48</v>
      </c>
      <c r="G19" s="94">
        <f>G18/9</f>
        <v>406.44444444444446</v>
      </c>
      <c r="H19" s="94">
        <f>H18/11</f>
        <v>422.09090909090907</v>
      </c>
      <c r="I19" s="94">
        <f>I18/4</f>
        <v>435.5</v>
      </c>
      <c r="J19" s="94">
        <f>J18/5</f>
        <v>457.4</v>
      </c>
      <c r="K19" s="94">
        <f>K18/2</f>
        <v>335.5</v>
      </c>
      <c r="L19" s="3" t="s">
        <v>24</v>
      </c>
      <c r="M19" s="101" t="s">
        <v>135</v>
      </c>
      <c r="N19" s="101"/>
      <c r="O19" s="3" t="s">
        <v>25</v>
      </c>
      <c r="P19" s="13" t="s">
        <v>136</v>
      </c>
      <c r="Q19"/>
      <c r="R19"/>
    </row>
    <row r="20" spans="12:18" ht="15.75">
      <c r="L20" s="7">
        <f>SUM(L3:L17)</f>
        <v>35743</v>
      </c>
      <c r="M20" s="1">
        <f>SUM(M3:M17)+57</f>
        <v>112</v>
      </c>
      <c r="N20" s="1">
        <f>SUM(N3:N17)+55</f>
        <v>112</v>
      </c>
      <c r="O20" s="1">
        <f>SUM(O3:O17)</f>
        <v>432</v>
      </c>
      <c r="P20" s="1">
        <f>SUM(P3:P17)+14</f>
        <v>26</v>
      </c>
      <c r="Q20"/>
      <c r="R20"/>
    </row>
    <row r="21" spans="3:4" ht="15.75">
      <c r="C21" s="103" t="s">
        <v>39</v>
      </c>
      <c r="D21" s="103"/>
    </row>
    <row r="22" spans="3:16" ht="15.75">
      <c r="C22" s="104" t="s">
        <v>160</v>
      </c>
      <c r="D22" s="104"/>
      <c r="O22" s="106" t="s">
        <v>170</v>
      </c>
      <c r="P22" s="106"/>
    </row>
    <row r="23" spans="3:16" ht="15.75">
      <c r="C23" s="105" t="s">
        <v>161</v>
      </c>
      <c r="D23" s="105"/>
      <c r="O23" s="107">
        <f>M20-N20</f>
        <v>0</v>
      </c>
      <c r="P23" s="107"/>
    </row>
    <row r="25" spans="3:21" ht="15.75">
      <c r="C25" s="29" t="s">
        <v>162</v>
      </c>
      <c r="S25" s="2"/>
      <c r="T25" s="2"/>
      <c r="U25" s="2"/>
    </row>
    <row r="26" spans="2:21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L26" s="13"/>
      <c r="S26" s="2"/>
      <c r="T26" s="2"/>
      <c r="U26" s="2"/>
    </row>
    <row r="27" spans="2:21" ht="15.75">
      <c r="B27" s="1" t="s">
        <v>190</v>
      </c>
      <c r="C27" s="1">
        <v>7</v>
      </c>
      <c r="E27" s="1">
        <v>8</v>
      </c>
      <c r="F27" s="1">
        <v>57</v>
      </c>
      <c r="G27" s="1">
        <v>55</v>
      </c>
      <c r="H27" s="109">
        <v>2553</v>
      </c>
      <c r="I27" s="109"/>
      <c r="J27" s="109">
        <v>14</v>
      </c>
      <c r="K27" s="109"/>
      <c r="N27" s="101" t="s">
        <v>182</v>
      </c>
      <c r="O27" s="101"/>
      <c r="P27" s="7">
        <f>AVERAGE(L3,L4,L5,L6,L7,L9,L10,L11,L12,L14,L15,L8,L16,L17)</f>
        <v>2553.0714285714284</v>
      </c>
      <c r="S27" s="2"/>
      <c r="T27" s="2"/>
      <c r="U27" s="2"/>
    </row>
    <row r="28" spans="3:21" ht="15.75">
      <c r="C28" s="29" t="s">
        <v>167</v>
      </c>
      <c r="S28" s="2"/>
      <c r="T28" s="2"/>
      <c r="U28" s="2"/>
    </row>
    <row r="29" spans="3:21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L29" s="13"/>
      <c r="S29" s="2"/>
      <c r="T29" s="2"/>
      <c r="U29" s="2"/>
    </row>
    <row r="30" spans="3:21" ht="15.75">
      <c r="C30" s="1">
        <v>4</v>
      </c>
      <c r="E30" s="1">
        <v>3</v>
      </c>
      <c r="F30" s="1">
        <f>M3+M4+M6+M8+M10+M12+M14+M16</f>
        <v>35</v>
      </c>
      <c r="G30" s="1">
        <f>N3+N4+N6+N8+N10+N12+N14+N16</f>
        <v>29</v>
      </c>
      <c r="H30" s="108">
        <f>L3+L4+L6+L8+L10+L12+L14+L16</f>
        <v>20829</v>
      </c>
      <c r="I30" s="108"/>
      <c r="J30" s="109">
        <f>P3+P4+P6+P8+P10+P12+P14+P16</f>
        <v>8</v>
      </c>
      <c r="K30" s="109"/>
      <c r="S30" s="2"/>
      <c r="T30" s="2"/>
      <c r="U30" s="2"/>
    </row>
    <row r="31" spans="3:21" ht="15.75">
      <c r="C31" s="29" t="s">
        <v>169</v>
      </c>
      <c r="S31" s="2"/>
      <c r="T31" s="2"/>
      <c r="U31" s="2"/>
    </row>
    <row r="32" spans="3:21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L32" s="13"/>
      <c r="S32" s="2"/>
      <c r="T32" s="2"/>
      <c r="U32" s="2"/>
    </row>
    <row r="33" spans="3:21" ht="15.75">
      <c r="C33" s="1">
        <v>2</v>
      </c>
      <c r="E33" s="1">
        <v>4</v>
      </c>
      <c r="F33" s="7">
        <f>M5+M7+M9+M11+M15+M17</f>
        <v>20</v>
      </c>
      <c r="G33" s="7">
        <f>N5+N7+N9+N11+N15+N17</f>
        <v>28</v>
      </c>
      <c r="H33" s="108">
        <f>L5+L7+L9+L11+L15+L17</f>
        <v>14914</v>
      </c>
      <c r="I33" s="108"/>
      <c r="J33" s="108">
        <f>P5+P7+P9+P11+P15+P17</f>
        <v>4</v>
      </c>
      <c r="K33" s="108"/>
      <c r="S33" s="2"/>
      <c r="T33" s="2"/>
      <c r="U33" s="2"/>
    </row>
  </sheetData>
  <mergeCells count="24">
    <mergeCell ref="J33:K33"/>
    <mergeCell ref="H33:I33"/>
    <mergeCell ref="J32:K32"/>
    <mergeCell ref="H32:I32"/>
    <mergeCell ref="F32:G32"/>
    <mergeCell ref="F29:G29"/>
    <mergeCell ref="O23:P23"/>
    <mergeCell ref="M1:N1"/>
    <mergeCell ref="M19:N19"/>
    <mergeCell ref="J30:K30"/>
    <mergeCell ref="H30:I30"/>
    <mergeCell ref="J29:K29"/>
    <mergeCell ref="H29:I29"/>
    <mergeCell ref="J27:K27"/>
    <mergeCell ref="O22:P22"/>
    <mergeCell ref="C23:D23"/>
    <mergeCell ref="N27:O27"/>
    <mergeCell ref="C1:K1"/>
    <mergeCell ref="F26:G26"/>
    <mergeCell ref="C22:D22"/>
    <mergeCell ref="C21:D21"/>
    <mergeCell ref="H27:I27"/>
    <mergeCell ref="J26:K26"/>
    <mergeCell ref="H26:I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3" sqref="D33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0.375" style="1" customWidth="1"/>
    <col min="10" max="12" width="9.125" style="1" customWidth="1"/>
    <col min="13" max="13" width="15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2:17" ht="36.75" customHeight="1" thickBot="1">
      <c r="B2" s="3" t="s">
        <v>15</v>
      </c>
      <c r="C2" s="11" t="s">
        <v>36</v>
      </c>
      <c r="D2" s="11" t="s">
        <v>37</v>
      </c>
      <c r="E2" s="11" t="s">
        <v>38</v>
      </c>
      <c r="F2" s="11" t="s">
        <v>66</v>
      </c>
      <c r="G2" s="11" t="s">
        <v>67</v>
      </c>
      <c r="H2" s="11" t="s">
        <v>68</v>
      </c>
      <c r="I2" s="11" t="s">
        <v>108</v>
      </c>
      <c r="J2" s="11" t="s">
        <v>131</v>
      </c>
      <c r="K2" s="11"/>
      <c r="L2" s="11"/>
      <c r="M2" s="3" t="s">
        <v>24</v>
      </c>
      <c r="N2" s="3" t="s">
        <v>13</v>
      </c>
      <c r="O2" s="3" t="s">
        <v>23</v>
      </c>
      <c r="P2" s="3" t="s">
        <v>25</v>
      </c>
      <c r="Q2" s="13" t="s">
        <v>134</v>
      </c>
    </row>
    <row r="3" spans="1:13" ht="15.75">
      <c r="A3" s="12" t="s">
        <v>145</v>
      </c>
      <c r="B3" s="1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6"/>
      <c r="M3" s="7">
        <f aca="true" t="shared" si="0" ref="M3:M17">SUM(C3:L3)</f>
        <v>0</v>
      </c>
    </row>
    <row r="4" spans="1:17" s="41" customFormat="1" ht="15.75">
      <c r="A4" s="20" t="s">
        <v>146</v>
      </c>
      <c r="B4" s="39" t="s">
        <v>8</v>
      </c>
      <c r="C4" s="68">
        <v>436</v>
      </c>
      <c r="D4" s="68">
        <v>449</v>
      </c>
      <c r="E4" s="20"/>
      <c r="F4" s="20">
        <v>405</v>
      </c>
      <c r="G4" s="68">
        <v>435</v>
      </c>
      <c r="H4" s="20">
        <v>372</v>
      </c>
      <c r="I4" s="68">
        <v>421</v>
      </c>
      <c r="J4" s="20"/>
      <c r="K4" s="20"/>
      <c r="L4" s="57"/>
      <c r="M4" s="49">
        <f t="shared" si="0"/>
        <v>2518</v>
      </c>
      <c r="N4" s="39">
        <v>6</v>
      </c>
      <c r="O4" s="39">
        <v>2</v>
      </c>
      <c r="P4" s="39">
        <v>88</v>
      </c>
      <c r="Q4" s="39">
        <v>2</v>
      </c>
    </row>
    <row r="5" spans="1:17" s="38" customFormat="1" ht="15.75">
      <c r="A5" s="19" t="s">
        <v>147</v>
      </c>
      <c r="B5" s="17" t="s">
        <v>0</v>
      </c>
      <c r="C5" s="67">
        <v>475</v>
      </c>
      <c r="D5" s="19">
        <v>418</v>
      </c>
      <c r="E5" s="67">
        <v>457</v>
      </c>
      <c r="F5" s="19">
        <v>420</v>
      </c>
      <c r="G5" s="67">
        <v>449</v>
      </c>
      <c r="H5" s="19"/>
      <c r="I5" s="19">
        <v>411</v>
      </c>
      <c r="J5" s="19"/>
      <c r="K5" s="19"/>
      <c r="L5" s="27"/>
      <c r="M5" s="28">
        <f t="shared" si="0"/>
        <v>2630</v>
      </c>
      <c r="N5" s="17">
        <v>5</v>
      </c>
      <c r="O5" s="17">
        <v>3</v>
      </c>
      <c r="P5" s="17">
        <v>64</v>
      </c>
      <c r="Q5" s="17">
        <v>2</v>
      </c>
    </row>
    <row r="6" spans="1:17" s="41" customFormat="1" ht="15.75">
      <c r="A6" s="20" t="s">
        <v>148</v>
      </c>
      <c r="B6" s="39" t="s">
        <v>1</v>
      </c>
      <c r="C6" s="68">
        <v>469</v>
      </c>
      <c r="D6" s="20">
        <v>432</v>
      </c>
      <c r="E6" s="20">
        <v>401</v>
      </c>
      <c r="F6" s="20"/>
      <c r="G6" s="68">
        <v>463</v>
      </c>
      <c r="H6" s="20">
        <v>430</v>
      </c>
      <c r="I6" s="20">
        <v>417</v>
      </c>
      <c r="J6" s="20"/>
      <c r="K6" s="20"/>
      <c r="L6" s="57"/>
      <c r="M6" s="49">
        <f t="shared" si="0"/>
        <v>2612</v>
      </c>
      <c r="N6" s="39">
        <v>2</v>
      </c>
      <c r="O6" s="39">
        <v>6</v>
      </c>
      <c r="P6" s="39">
        <v>-24</v>
      </c>
      <c r="Q6" s="39">
        <v>0</v>
      </c>
    </row>
    <row r="7" spans="1:17" s="38" customFormat="1" ht="15.75">
      <c r="A7" s="19" t="s">
        <v>149</v>
      </c>
      <c r="B7" s="17" t="s">
        <v>18</v>
      </c>
      <c r="C7" s="17"/>
      <c r="D7" s="67">
        <v>459</v>
      </c>
      <c r="E7" s="19">
        <v>418</v>
      </c>
      <c r="F7" s="19">
        <v>409</v>
      </c>
      <c r="G7" s="67">
        <v>446</v>
      </c>
      <c r="H7" s="19">
        <v>406</v>
      </c>
      <c r="I7" s="67">
        <v>429</v>
      </c>
      <c r="J7" s="19"/>
      <c r="K7" s="19"/>
      <c r="L7" s="27"/>
      <c r="M7" s="28">
        <f t="shared" si="0"/>
        <v>2567</v>
      </c>
      <c r="N7" s="17">
        <v>5</v>
      </c>
      <c r="O7" s="17">
        <v>3</v>
      </c>
      <c r="P7" s="17">
        <v>29</v>
      </c>
      <c r="Q7" s="17">
        <v>2</v>
      </c>
    </row>
    <row r="8" spans="1:17" s="41" customFormat="1" ht="15.75">
      <c r="A8" s="20" t="s">
        <v>150</v>
      </c>
      <c r="B8" s="39" t="s">
        <v>6</v>
      </c>
      <c r="C8" s="68">
        <v>458</v>
      </c>
      <c r="D8" s="20"/>
      <c r="E8" s="68">
        <v>446</v>
      </c>
      <c r="F8" s="20">
        <v>402</v>
      </c>
      <c r="G8" s="20">
        <v>393</v>
      </c>
      <c r="H8" s="68">
        <v>437</v>
      </c>
      <c r="I8" s="20">
        <v>402</v>
      </c>
      <c r="J8" s="20"/>
      <c r="K8" s="20"/>
      <c r="L8" s="57"/>
      <c r="M8" s="49">
        <f t="shared" si="0"/>
        <v>2538</v>
      </c>
      <c r="N8" s="39">
        <v>5</v>
      </c>
      <c r="O8" s="39">
        <v>3</v>
      </c>
      <c r="P8" s="39">
        <v>15</v>
      </c>
      <c r="Q8" s="39">
        <v>2</v>
      </c>
    </row>
    <row r="9" spans="1:17" s="38" customFormat="1" ht="15.75">
      <c r="A9" s="19" t="s">
        <v>151</v>
      </c>
      <c r="B9" s="17" t="s">
        <v>5</v>
      </c>
      <c r="C9" s="67">
        <v>482</v>
      </c>
      <c r="D9" s="67">
        <v>457</v>
      </c>
      <c r="E9" s="19">
        <v>434</v>
      </c>
      <c r="F9" s="19">
        <v>430</v>
      </c>
      <c r="G9" s="19">
        <v>411</v>
      </c>
      <c r="H9" s="19"/>
      <c r="I9" s="67">
        <v>435</v>
      </c>
      <c r="J9" s="19"/>
      <c r="K9" s="19"/>
      <c r="L9" s="27"/>
      <c r="M9" s="28">
        <f t="shared" si="0"/>
        <v>2649</v>
      </c>
      <c r="N9" s="17">
        <v>5</v>
      </c>
      <c r="O9" s="17">
        <v>3</v>
      </c>
      <c r="P9" s="17">
        <v>76</v>
      </c>
      <c r="Q9" s="17">
        <v>2</v>
      </c>
    </row>
    <row r="10" spans="1:17" s="41" customFormat="1" ht="15.75">
      <c r="A10" s="20" t="s">
        <v>152</v>
      </c>
      <c r="B10" s="39" t="s">
        <v>4</v>
      </c>
      <c r="C10" s="68">
        <v>438</v>
      </c>
      <c r="D10" s="68">
        <v>448</v>
      </c>
      <c r="E10" s="68">
        <v>429</v>
      </c>
      <c r="F10" s="39"/>
      <c r="G10" s="68">
        <v>414</v>
      </c>
      <c r="H10" s="39">
        <v>396</v>
      </c>
      <c r="I10" s="68">
        <v>440</v>
      </c>
      <c r="J10" s="39"/>
      <c r="K10" s="39"/>
      <c r="L10" s="57"/>
      <c r="M10" s="49">
        <f t="shared" si="0"/>
        <v>2565</v>
      </c>
      <c r="N10" s="39">
        <v>7</v>
      </c>
      <c r="O10" s="39">
        <v>1</v>
      </c>
      <c r="P10" s="39">
        <v>297</v>
      </c>
      <c r="Q10" s="39">
        <v>2</v>
      </c>
    </row>
    <row r="11" spans="1:17" s="38" customFormat="1" ht="15.75">
      <c r="A11" s="19" t="s">
        <v>153</v>
      </c>
      <c r="B11" s="17" t="s">
        <v>3</v>
      </c>
      <c r="C11" s="67">
        <v>451</v>
      </c>
      <c r="D11" s="67">
        <v>485</v>
      </c>
      <c r="E11" s="67">
        <v>451</v>
      </c>
      <c r="F11" s="17"/>
      <c r="G11" s="67">
        <v>460</v>
      </c>
      <c r="H11" s="17">
        <v>405</v>
      </c>
      <c r="I11" s="17">
        <v>427</v>
      </c>
      <c r="J11" s="17"/>
      <c r="K11" s="17"/>
      <c r="L11" s="27"/>
      <c r="M11" s="28">
        <f t="shared" si="0"/>
        <v>2679</v>
      </c>
      <c r="N11" s="17">
        <v>6</v>
      </c>
      <c r="O11" s="17">
        <v>2</v>
      </c>
      <c r="P11" s="17">
        <v>84</v>
      </c>
      <c r="Q11" s="17">
        <v>2</v>
      </c>
    </row>
    <row r="12" spans="1:17" s="41" customFormat="1" ht="15.75">
      <c r="A12" s="20" t="s">
        <v>154</v>
      </c>
      <c r="B12" s="39" t="s">
        <v>16</v>
      </c>
      <c r="C12" s="39">
        <v>438</v>
      </c>
      <c r="D12" s="68">
        <v>478</v>
      </c>
      <c r="E12" s="68">
        <v>451</v>
      </c>
      <c r="F12" s="39">
        <v>421</v>
      </c>
      <c r="G12" s="39">
        <v>412</v>
      </c>
      <c r="H12" s="39"/>
      <c r="I12" s="68">
        <v>451</v>
      </c>
      <c r="J12" s="39"/>
      <c r="K12" s="39"/>
      <c r="L12" s="57"/>
      <c r="M12" s="49">
        <f t="shared" si="0"/>
        <v>2651</v>
      </c>
      <c r="N12" s="39">
        <v>5</v>
      </c>
      <c r="O12" s="39">
        <v>3</v>
      </c>
      <c r="P12" s="39">
        <v>10</v>
      </c>
      <c r="Q12" s="39">
        <v>2</v>
      </c>
    </row>
    <row r="13" spans="1:17" s="38" customFormat="1" ht="15.75">
      <c r="A13" s="19" t="s">
        <v>155</v>
      </c>
      <c r="B13" s="17" t="s">
        <v>14</v>
      </c>
      <c r="C13" s="67">
        <v>472</v>
      </c>
      <c r="D13" s="67">
        <v>447</v>
      </c>
      <c r="E13" s="17"/>
      <c r="F13" s="17">
        <v>422</v>
      </c>
      <c r="G13" s="17">
        <v>439</v>
      </c>
      <c r="H13" s="17">
        <v>417</v>
      </c>
      <c r="I13" s="67">
        <v>469</v>
      </c>
      <c r="J13" s="17"/>
      <c r="K13" s="17"/>
      <c r="L13" s="27"/>
      <c r="M13" s="28">
        <f t="shared" si="0"/>
        <v>2666</v>
      </c>
      <c r="N13" s="17">
        <v>3</v>
      </c>
      <c r="O13" s="17">
        <v>5</v>
      </c>
      <c r="P13" s="17">
        <v>-23</v>
      </c>
      <c r="Q13" s="17">
        <v>0</v>
      </c>
    </row>
    <row r="14" spans="1:17" s="41" customFormat="1" ht="15.75">
      <c r="A14" s="20" t="s">
        <v>156</v>
      </c>
      <c r="B14" s="39" t="s">
        <v>2</v>
      </c>
      <c r="C14" s="68">
        <v>497</v>
      </c>
      <c r="D14" s="68">
        <v>485</v>
      </c>
      <c r="E14" s="68">
        <v>445</v>
      </c>
      <c r="F14" s="39">
        <v>409</v>
      </c>
      <c r="G14" s="68">
        <v>427</v>
      </c>
      <c r="H14" s="39"/>
      <c r="I14" s="39">
        <v>413</v>
      </c>
      <c r="J14" s="39"/>
      <c r="K14" s="39"/>
      <c r="L14" s="57"/>
      <c r="M14" s="49">
        <f t="shared" si="0"/>
        <v>2676</v>
      </c>
      <c r="N14" s="39">
        <v>6</v>
      </c>
      <c r="O14" s="39">
        <v>2</v>
      </c>
      <c r="P14" s="39">
        <v>169</v>
      </c>
      <c r="Q14" s="39">
        <v>2</v>
      </c>
    </row>
    <row r="15" spans="1:17" s="41" customFormat="1" ht="15.75">
      <c r="A15" s="20" t="s">
        <v>157</v>
      </c>
      <c r="B15" s="39" t="s">
        <v>12</v>
      </c>
      <c r="C15" s="68">
        <v>494</v>
      </c>
      <c r="D15" s="68">
        <v>467</v>
      </c>
      <c r="E15" s="39">
        <v>410</v>
      </c>
      <c r="F15" s="39">
        <v>405</v>
      </c>
      <c r="G15" s="68">
        <v>450</v>
      </c>
      <c r="H15" s="39"/>
      <c r="I15" s="39">
        <v>437</v>
      </c>
      <c r="J15" s="39"/>
      <c r="K15" s="39"/>
      <c r="L15" s="57"/>
      <c r="M15" s="49">
        <f t="shared" si="0"/>
        <v>2663</v>
      </c>
      <c r="N15" s="39">
        <v>5</v>
      </c>
      <c r="O15" s="39">
        <v>3</v>
      </c>
      <c r="P15" s="39">
        <v>130</v>
      </c>
      <c r="Q15" s="39">
        <v>2</v>
      </c>
    </row>
    <row r="16" spans="1:17" s="38" customFormat="1" ht="15.75">
      <c r="A16" s="19" t="s">
        <v>158</v>
      </c>
      <c r="B16" s="17" t="s">
        <v>11</v>
      </c>
      <c r="C16" s="67">
        <v>475</v>
      </c>
      <c r="D16" s="67">
        <v>485</v>
      </c>
      <c r="E16" s="17">
        <v>416</v>
      </c>
      <c r="F16" s="17">
        <v>415</v>
      </c>
      <c r="G16" s="17">
        <v>407</v>
      </c>
      <c r="H16" s="17"/>
      <c r="I16" s="17">
        <v>398</v>
      </c>
      <c r="J16" s="17"/>
      <c r="K16" s="17"/>
      <c r="L16" s="27"/>
      <c r="M16" s="28">
        <f t="shared" si="0"/>
        <v>2596</v>
      </c>
      <c r="N16" s="17">
        <v>2</v>
      </c>
      <c r="O16" s="17">
        <v>6</v>
      </c>
      <c r="P16" s="17">
        <v>-85</v>
      </c>
      <c r="Q16" s="17">
        <v>0</v>
      </c>
    </row>
    <row r="17" spans="1:17" s="41" customFormat="1" ht="16.5" thickBot="1">
      <c r="A17" s="20" t="s">
        <v>159</v>
      </c>
      <c r="B17" s="39" t="s">
        <v>10</v>
      </c>
      <c r="C17" s="95">
        <v>472</v>
      </c>
      <c r="D17" s="95">
        <v>435</v>
      </c>
      <c r="E17" s="58"/>
      <c r="F17" s="95">
        <v>418</v>
      </c>
      <c r="G17" s="95">
        <v>422</v>
      </c>
      <c r="H17" s="58">
        <v>410</v>
      </c>
      <c r="I17" s="95">
        <v>448</v>
      </c>
      <c r="J17" s="58"/>
      <c r="K17" s="58"/>
      <c r="L17" s="59"/>
      <c r="M17" s="60">
        <f t="shared" si="0"/>
        <v>2605</v>
      </c>
      <c r="N17" s="58">
        <v>7</v>
      </c>
      <c r="O17" s="58">
        <v>1</v>
      </c>
      <c r="P17" s="58">
        <v>197</v>
      </c>
      <c r="Q17" s="58">
        <v>2</v>
      </c>
    </row>
    <row r="18" spans="3:12" ht="16.5" thickTop="1">
      <c r="C18" s="7">
        <f aca="true" t="shared" si="1" ref="C18:L18">SUM(C3:C17)</f>
        <v>6057</v>
      </c>
      <c r="D18" s="7">
        <f t="shared" si="1"/>
        <v>5945</v>
      </c>
      <c r="E18" s="7">
        <f t="shared" si="1"/>
        <v>4758</v>
      </c>
      <c r="F18" s="7">
        <f t="shared" si="1"/>
        <v>4556</v>
      </c>
      <c r="G18" s="7">
        <f t="shared" si="1"/>
        <v>6028</v>
      </c>
      <c r="H18" s="7">
        <f t="shared" si="1"/>
        <v>3273</v>
      </c>
      <c r="I18" s="7">
        <f t="shared" si="1"/>
        <v>5998</v>
      </c>
      <c r="J18" s="7">
        <f t="shared" si="1"/>
        <v>0</v>
      </c>
      <c r="K18" s="7">
        <f t="shared" si="1"/>
        <v>0</v>
      </c>
      <c r="L18" s="7">
        <f t="shared" si="1"/>
        <v>0</v>
      </c>
    </row>
    <row r="19" spans="2:17" ht="35.25" customHeight="1">
      <c r="B19" s="93" t="s">
        <v>206</v>
      </c>
      <c r="C19" s="94">
        <f>C18/13</f>
        <v>465.9230769230769</v>
      </c>
      <c r="D19" s="94">
        <f>D18/13</f>
        <v>457.3076923076923</v>
      </c>
      <c r="E19" s="94">
        <f>E18/11</f>
        <v>432.54545454545456</v>
      </c>
      <c r="F19" s="94">
        <f>F18/11</f>
        <v>414.1818181818182</v>
      </c>
      <c r="G19" s="94">
        <f>G18/14</f>
        <v>430.57142857142856</v>
      </c>
      <c r="H19" s="94">
        <f>H18/8</f>
        <v>409.125</v>
      </c>
      <c r="I19" s="94">
        <f>I18/14</f>
        <v>428.42857142857144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13:17" ht="15.75">
      <c r="M20" s="7">
        <f>SUM(M3:M17)</f>
        <v>36615</v>
      </c>
      <c r="N20" s="1">
        <f>SUM(N3:N17)+70</f>
        <v>139</v>
      </c>
      <c r="O20" s="1">
        <f>SUM(O3:O17)+42</f>
        <v>85</v>
      </c>
      <c r="P20" s="1">
        <f>SUM(P3:P17)</f>
        <v>1027</v>
      </c>
      <c r="Q20" s="1">
        <f>SUM(Q3:Q17)+21</f>
        <v>43</v>
      </c>
    </row>
    <row r="21" spans="3:4" ht="15.75">
      <c r="C21" s="103" t="s">
        <v>39</v>
      </c>
      <c r="D21" s="103"/>
    </row>
    <row r="22" spans="3:15" ht="15.75">
      <c r="C22" s="104" t="s">
        <v>160</v>
      </c>
      <c r="D22" s="104"/>
      <c r="N22" s="106" t="s">
        <v>170</v>
      </c>
      <c r="O22" s="106"/>
    </row>
    <row r="23" spans="3:15" ht="15.75">
      <c r="C23" s="105" t="s">
        <v>161</v>
      </c>
      <c r="D23" s="105"/>
      <c r="N23" s="107">
        <f>N20-O20</f>
        <v>54</v>
      </c>
      <c r="O23" s="107"/>
    </row>
    <row r="25" spans="3:20" ht="15.75">
      <c r="C25" s="29" t="s">
        <v>162</v>
      </c>
      <c r="R25" s="2"/>
      <c r="S25" s="2"/>
      <c r="T25" s="2"/>
    </row>
    <row r="26" spans="2:20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R26" s="2"/>
      <c r="S26" s="2"/>
      <c r="T26" s="2"/>
    </row>
    <row r="27" spans="2:20" ht="15.75">
      <c r="B27" s="1" t="s">
        <v>185</v>
      </c>
      <c r="C27" s="1">
        <v>10</v>
      </c>
      <c r="D27" s="1">
        <v>1</v>
      </c>
      <c r="E27" s="1">
        <v>3</v>
      </c>
      <c r="F27" s="1">
        <v>70</v>
      </c>
      <c r="G27" s="1">
        <v>42</v>
      </c>
      <c r="H27" s="109">
        <v>2612</v>
      </c>
      <c r="I27" s="109"/>
      <c r="J27" s="109">
        <v>21</v>
      </c>
      <c r="K27" s="109"/>
      <c r="M27" s="101" t="s">
        <v>182</v>
      </c>
      <c r="N27" s="101"/>
      <c r="O27" s="7">
        <f>AVERAGE(M8,M4,M5,M6,M7,M9,M11,M12,M14,M15,M13,M16,M17,M10)</f>
        <v>2615.3571428571427</v>
      </c>
      <c r="R27" s="2"/>
      <c r="S27" s="2"/>
      <c r="T27" s="2"/>
    </row>
    <row r="28" spans="3:20" ht="15.75">
      <c r="C28" s="29" t="s">
        <v>167</v>
      </c>
      <c r="R28" s="2"/>
      <c r="S28" s="2"/>
      <c r="T28" s="2"/>
    </row>
    <row r="29" spans="3:20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R29" s="2"/>
      <c r="S29" s="2"/>
      <c r="T29" s="2"/>
    </row>
    <row r="30" spans="3:20" ht="15.75">
      <c r="C30" s="1">
        <v>4</v>
      </c>
      <c r="E30" s="1">
        <v>2</v>
      </c>
      <c r="F30" s="1">
        <f>N5+N7+N9+N11+N13+N16</f>
        <v>26</v>
      </c>
      <c r="G30" s="1">
        <f>O5+O7+O9+O11+O13+O16</f>
        <v>22</v>
      </c>
      <c r="H30" s="108">
        <f>M5+M7+M9+M11+M13+M16</f>
        <v>15787</v>
      </c>
      <c r="I30" s="109"/>
      <c r="J30" s="109">
        <f>Q5+Q7+Q9+Q11+Q13+Q16</f>
        <v>8</v>
      </c>
      <c r="K30" s="109"/>
      <c r="R30" s="2"/>
      <c r="S30" s="2"/>
      <c r="T30" s="2"/>
    </row>
    <row r="31" spans="3:20" ht="15.75">
      <c r="C31" s="29" t="s">
        <v>169</v>
      </c>
      <c r="R31" s="2"/>
      <c r="S31" s="2"/>
      <c r="T31" s="2"/>
    </row>
    <row r="32" spans="3:20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R32" s="2"/>
      <c r="S32" s="2"/>
      <c r="T32" s="2"/>
    </row>
    <row r="33" spans="3:20" ht="15.75">
      <c r="C33" s="1">
        <v>7</v>
      </c>
      <c r="E33" s="1">
        <v>1</v>
      </c>
      <c r="F33" s="7">
        <f>N4+N6+N8+N10+N12+N14+N15+N17</f>
        <v>43</v>
      </c>
      <c r="G33" s="7">
        <f>O4+O6+O8+O10+O12+O14+O15+O17</f>
        <v>21</v>
      </c>
      <c r="H33" s="108">
        <f>M4+M6+M8+M10+M12+M14+M15+M17</f>
        <v>20828</v>
      </c>
      <c r="I33" s="109"/>
      <c r="J33" s="108">
        <f>Q4+Q6+Q8+Q10+Q12+Q14+Q15+Q17</f>
        <v>14</v>
      </c>
      <c r="K33" s="109"/>
      <c r="R33" s="2"/>
      <c r="S33" s="2"/>
      <c r="T33" s="2"/>
    </row>
  </sheetData>
  <mergeCells count="24">
    <mergeCell ref="M27:N27"/>
    <mergeCell ref="H33:I33"/>
    <mergeCell ref="J33:K33"/>
    <mergeCell ref="H30:I30"/>
    <mergeCell ref="J30:K30"/>
    <mergeCell ref="J32:K32"/>
    <mergeCell ref="J26:K26"/>
    <mergeCell ref="H27:I27"/>
    <mergeCell ref="J27:K27"/>
    <mergeCell ref="H29:I29"/>
    <mergeCell ref="J29:K29"/>
    <mergeCell ref="F26:G26"/>
    <mergeCell ref="H26:I26"/>
    <mergeCell ref="F32:G32"/>
    <mergeCell ref="H32:I32"/>
    <mergeCell ref="F29:G29"/>
    <mergeCell ref="N22:O22"/>
    <mergeCell ref="N23:O23"/>
    <mergeCell ref="C1:L1"/>
    <mergeCell ref="N1:O1"/>
    <mergeCell ref="C21:D21"/>
    <mergeCell ref="N19:O19"/>
    <mergeCell ref="C22:D22"/>
    <mergeCell ref="C23:D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9" sqref="F1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12" width="9.125" style="1" customWidth="1"/>
    <col min="13" max="13" width="15.875" style="1" bestFit="1" customWidth="1"/>
    <col min="14" max="14" width="14.875" style="1" bestFit="1" customWidth="1"/>
    <col min="15" max="15" width="11.25390625" style="1" customWidth="1"/>
    <col min="16" max="16" width="13.625" style="1" bestFit="1" customWidth="1"/>
    <col min="17" max="17" width="13.375" style="1" customWidth="1"/>
    <col min="18" max="18" width="12.25390625" style="1" customWidth="1"/>
  </cols>
  <sheetData>
    <row r="1" spans="3:21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101" t="s">
        <v>22</v>
      </c>
      <c r="P1" s="101"/>
      <c r="S1" s="2"/>
      <c r="T1" s="2"/>
      <c r="U1" s="2"/>
    </row>
    <row r="2" spans="2:18" ht="32.25" thickBot="1">
      <c r="B2" s="3" t="s">
        <v>15</v>
      </c>
      <c r="C2" s="11" t="s">
        <v>102</v>
      </c>
      <c r="D2" s="11" t="s">
        <v>103</v>
      </c>
      <c r="E2" s="11" t="s">
        <v>104</v>
      </c>
      <c r="F2" s="11" t="s">
        <v>105</v>
      </c>
      <c r="G2" s="11" t="s">
        <v>106</v>
      </c>
      <c r="H2" s="11" t="s">
        <v>107</v>
      </c>
      <c r="I2" s="11" t="s">
        <v>109</v>
      </c>
      <c r="J2" s="11" t="s">
        <v>133</v>
      </c>
      <c r="K2" s="11" t="s">
        <v>205</v>
      </c>
      <c r="L2" s="11" t="s">
        <v>198</v>
      </c>
      <c r="M2" s="3" t="s">
        <v>24</v>
      </c>
      <c r="N2" s="3" t="s">
        <v>3</v>
      </c>
      <c r="O2" s="3" t="s">
        <v>23</v>
      </c>
      <c r="P2" s="3" t="s">
        <v>25</v>
      </c>
      <c r="Q2" s="13" t="s">
        <v>134</v>
      </c>
      <c r="R2"/>
    </row>
    <row r="3" spans="1:17" s="38" customFormat="1" ht="15.75">
      <c r="A3" s="19" t="s">
        <v>145</v>
      </c>
      <c r="B3" s="17" t="s">
        <v>1</v>
      </c>
      <c r="C3" s="67">
        <v>449</v>
      </c>
      <c r="D3" s="67">
        <v>473</v>
      </c>
      <c r="E3" s="19"/>
      <c r="F3" s="19">
        <v>432</v>
      </c>
      <c r="G3" s="19">
        <v>426</v>
      </c>
      <c r="H3" s="19">
        <v>428</v>
      </c>
      <c r="I3" s="67">
        <v>440</v>
      </c>
      <c r="J3" s="19"/>
      <c r="K3" s="19"/>
      <c r="L3" s="27"/>
      <c r="M3" s="28">
        <f aca="true" t="shared" si="0" ref="M3:M17">SUM(C3:L3)</f>
        <v>2648</v>
      </c>
      <c r="N3" s="17">
        <v>5</v>
      </c>
      <c r="O3" s="17">
        <v>3</v>
      </c>
      <c r="P3" s="17">
        <v>56</v>
      </c>
      <c r="Q3" s="17">
        <v>2</v>
      </c>
    </row>
    <row r="4" spans="1:17" s="41" customFormat="1" ht="15.75">
      <c r="A4" s="20" t="s">
        <v>146</v>
      </c>
      <c r="B4" s="39" t="s">
        <v>18</v>
      </c>
      <c r="C4" s="68">
        <v>433</v>
      </c>
      <c r="D4" s="68">
        <v>450</v>
      </c>
      <c r="E4" s="20"/>
      <c r="F4" s="20">
        <v>417</v>
      </c>
      <c r="G4" s="68">
        <v>429</v>
      </c>
      <c r="H4" s="20">
        <v>390</v>
      </c>
      <c r="I4" s="20">
        <v>397</v>
      </c>
      <c r="J4" s="20"/>
      <c r="K4" s="20"/>
      <c r="L4" s="57"/>
      <c r="M4" s="49">
        <f t="shared" si="0"/>
        <v>2516</v>
      </c>
      <c r="N4" s="39">
        <v>5</v>
      </c>
      <c r="O4" s="39">
        <v>3</v>
      </c>
      <c r="P4" s="39">
        <v>20</v>
      </c>
      <c r="Q4" s="39">
        <v>2</v>
      </c>
    </row>
    <row r="5" spans="1:17" s="38" customFormat="1" ht="15.75">
      <c r="A5" s="19" t="s">
        <v>147</v>
      </c>
      <c r="B5" s="17" t="s">
        <v>6</v>
      </c>
      <c r="C5" s="67">
        <v>456</v>
      </c>
      <c r="D5" s="67">
        <v>437</v>
      </c>
      <c r="E5" s="19">
        <v>194</v>
      </c>
      <c r="F5" s="19">
        <v>203</v>
      </c>
      <c r="G5" s="67">
        <v>454</v>
      </c>
      <c r="H5" s="67">
        <v>417</v>
      </c>
      <c r="I5" s="67">
        <v>412</v>
      </c>
      <c r="J5" s="19"/>
      <c r="K5" s="19"/>
      <c r="L5" s="27"/>
      <c r="M5" s="28">
        <f t="shared" si="0"/>
        <v>2573</v>
      </c>
      <c r="N5" s="17">
        <v>7</v>
      </c>
      <c r="O5" s="17">
        <v>1</v>
      </c>
      <c r="P5" s="28">
        <f>M5-2305</f>
        <v>268</v>
      </c>
      <c r="Q5" s="17">
        <v>2</v>
      </c>
    </row>
    <row r="6" spans="1:17" s="41" customFormat="1" ht="15.75">
      <c r="A6" s="20" t="s">
        <v>148</v>
      </c>
      <c r="B6" s="39" t="s">
        <v>5</v>
      </c>
      <c r="C6" s="68">
        <v>448</v>
      </c>
      <c r="D6" s="68">
        <v>478</v>
      </c>
      <c r="E6" s="20"/>
      <c r="F6" s="20">
        <v>402</v>
      </c>
      <c r="G6" s="68">
        <v>457</v>
      </c>
      <c r="H6" s="20">
        <v>429</v>
      </c>
      <c r="I6" s="20">
        <v>411</v>
      </c>
      <c r="J6" s="20"/>
      <c r="K6" s="20"/>
      <c r="L6" s="57"/>
      <c r="M6" s="49">
        <f t="shared" si="0"/>
        <v>2625</v>
      </c>
      <c r="N6" s="39">
        <v>5</v>
      </c>
      <c r="O6" s="39">
        <v>3</v>
      </c>
      <c r="P6" s="39">
        <v>78</v>
      </c>
      <c r="Q6" s="39">
        <v>2</v>
      </c>
    </row>
    <row r="7" spans="1:17" s="38" customFormat="1" ht="15.75">
      <c r="A7" s="19" t="s">
        <v>149</v>
      </c>
      <c r="B7" s="17" t="s">
        <v>4</v>
      </c>
      <c r="C7" s="67">
        <v>462</v>
      </c>
      <c r="D7" s="67">
        <v>479</v>
      </c>
      <c r="E7" s="19">
        <v>310</v>
      </c>
      <c r="F7" s="19"/>
      <c r="G7" s="19">
        <v>391</v>
      </c>
      <c r="H7" s="67">
        <v>434</v>
      </c>
      <c r="I7" s="19"/>
      <c r="J7" s="19"/>
      <c r="K7" s="19"/>
      <c r="L7" s="27">
        <v>295</v>
      </c>
      <c r="M7" s="28">
        <f t="shared" si="0"/>
        <v>2371</v>
      </c>
      <c r="N7" s="17">
        <v>3</v>
      </c>
      <c r="O7" s="17">
        <v>5</v>
      </c>
      <c r="P7" s="17">
        <v>-71</v>
      </c>
      <c r="Q7" s="17">
        <v>0</v>
      </c>
    </row>
    <row r="8" spans="1:17" s="38" customFormat="1" ht="15.75">
      <c r="A8" s="19" t="s">
        <v>150</v>
      </c>
      <c r="B8" s="17" t="s">
        <v>2</v>
      </c>
      <c r="C8" s="17">
        <v>404</v>
      </c>
      <c r="D8" s="67">
        <v>508</v>
      </c>
      <c r="E8" s="19"/>
      <c r="F8" s="19">
        <v>415</v>
      </c>
      <c r="G8" s="19">
        <v>382</v>
      </c>
      <c r="H8" s="19">
        <v>326</v>
      </c>
      <c r="I8" s="19">
        <v>368</v>
      </c>
      <c r="J8" s="19"/>
      <c r="K8" s="19"/>
      <c r="L8" s="27"/>
      <c r="M8" s="28">
        <f t="shared" si="0"/>
        <v>2403</v>
      </c>
      <c r="N8" s="17">
        <v>1</v>
      </c>
      <c r="O8" s="17">
        <v>7</v>
      </c>
      <c r="P8" s="17">
        <v>-202</v>
      </c>
      <c r="Q8" s="17">
        <v>0</v>
      </c>
    </row>
    <row r="9" spans="1:17" s="41" customFormat="1" ht="15.75">
      <c r="A9" s="20" t="s">
        <v>151</v>
      </c>
      <c r="B9" s="39" t="s">
        <v>16</v>
      </c>
      <c r="C9" s="39"/>
      <c r="D9" s="68">
        <v>449</v>
      </c>
      <c r="E9" s="39">
        <v>383</v>
      </c>
      <c r="F9" s="68">
        <v>443</v>
      </c>
      <c r="G9" s="39">
        <v>356</v>
      </c>
      <c r="H9" s="39">
        <v>379</v>
      </c>
      <c r="I9" s="39">
        <v>367</v>
      </c>
      <c r="J9" s="39"/>
      <c r="K9" s="39"/>
      <c r="L9" s="57"/>
      <c r="M9" s="49">
        <f t="shared" si="0"/>
        <v>2377</v>
      </c>
      <c r="N9" s="39">
        <v>2</v>
      </c>
      <c r="O9" s="39">
        <v>6</v>
      </c>
      <c r="P9" s="39">
        <v>-351</v>
      </c>
      <c r="Q9" s="39">
        <v>0</v>
      </c>
    </row>
    <row r="10" spans="1:17" s="38" customFormat="1" ht="15.75">
      <c r="A10" s="19" t="s">
        <v>152</v>
      </c>
      <c r="B10" s="17" t="s">
        <v>14</v>
      </c>
      <c r="C10" s="67">
        <v>423</v>
      </c>
      <c r="D10" s="67">
        <v>449</v>
      </c>
      <c r="E10" s="17">
        <v>307</v>
      </c>
      <c r="F10" s="17">
        <v>374</v>
      </c>
      <c r="G10" s="17">
        <v>416</v>
      </c>
      <c r="H10" s="67">
        <v>421</v>
      </c>
      <c r="I10" s="17"/>
      <c r="J10" s="17"/>
      <c r="K10" s="17"/>
      <c r="L10" s="27"/>
      <c r="M10" s="28">
        <f t="shared" si="0"/>
        <v>2390</v>
      </c>
      <c r="N10" s="17">
        <v>3</v>
      </c>
      <c r="O10" s="17">
        <v>5</v>
      </c>
      <c r="P10" s="28">
        <f>M10-2576</f>
        <v>-186</v>
      </c>
      <c r="Q10" s="17">
        <v>0</v>
      </c>
    </row>
    <row r="11" spans="1:17" s="41" customFormat="1" ht="15.75">
      <c r="A11" s="20" t="s">
        <v>153</v>
      </c>
      <c r="B11" s="39" t="s">
        <v>13</v>
      </c>
      <c r="C11" s="39"/>
      <c r="D11" s="68">
        <v>498</v>
      </c>
      <c r="E11" s="39">
        <v>407</v>
      </c>
      <c r="F11" s="39">
        <v>415</v>
      </c>
      <c r="G11" s="39">
        <v>437</v>
      </c>
      <c r="H11" s="68">
        <v>442</v>
      </c>
      <c r="I11" s="39">
        <v>396</v>
      </c>
      <c r="J11" s="39"/>
      <c r="K11" s="39"/>
      <c r="L11" s="57"/>
      <c r="M11" s="49">
        <f t="shared" si="0"/>
        <v>2595</v>
      </c>
      <c r="N11" s="39">
        <v>2</v>
      </c>
      <c r="O11" s="39">
        <v>6</v>
      </c>
      <c r="P11" s="39">
        <v>-84</v>
      </c>
      <c r="Q11" s="39">
        <v>0</v>
      </c>
    </row>
    <row r="12" spans="1:17" s="38" customFormat="1" ht="15.75">
      <c r="A12" s="19" t="s">
        <v>154</v>
      </c>
      <c r="B12" s="17" t="s">
        <v>12</v>
      </c>
      <c r="C12" s="17"/>
      <c r="D12" s="67">
        <v>484</v>
      </c>
      <c r="E12" s="17">
        <v>361</v>
      </c>
      <c r="F12" s="17">
        <v>383</v>
      </c>
      <c r="G12" s="67">
        <v>460</v>
      </c>
      <c r="H12" s="17">
        <v>405</v>
      </c>
      <c r="I12" s="17">
        <v>377</v>
      </c>
      <c r="J12" s="17"/>
      <c r="K12" s="17"/>
      <c r="L12" s="27"/>
      <c r="M12" s="28">
        <f t="shared" si="0"/>
        <v>2470</v>
      </c>
      <c r="N12" s="17">
        <v>2</v>
      </c>
      <c r="O12" s="17">
        <v>6</v>
      </c>
      <c r="P12" s="17">
        <v>-71</v>
      </c>
      <c r="Q12" s="17">
        <v>0</v>
      </c>
    </row>
    <row r="13" spans="1:17" s="41" customFormat="1" ht="15.75">
      <c r="A13" s="20" t="s">
        <v>155</v>
      </c>
      <c r="B13" s="39" t="s">
        <v>11</v>
      </c>
      <c r="C13" s="68">
        <v>433</v>
      </c>
      <c r="D13" s="68">
        <v>460</v>
      </c>
      <c r="E13" s="39">
        <v>383</v>
      </c>
      <c r="F13" s="39">
        <v>429</v>
      </c>
      <c r="G13" s="39">
        <v>450</v>
      </c>
      <c r="H13" s="39"/>
      <c r="I13" s="39"/>
      <c r="J13" s="39">
        <v>150</v>
      </c>
      <c r="K13" s="39">
        <v>132</v>
      </c>
      <c r="L13" s="57"/>
      <c r="M13" s="49">
        <f t="shared" si="0"/>
        <v>2437</v>
      </c>
      <c r="N13" s="39">
        <v>3</v>
      </c>
      <c r="O13" s="39">
        <v>5</v>
      </c>
      <c r="P13" s="39">
        <v>-174</v>
      </c>
      <c r="Q13" s="39">
        <v>0</v>
      </c>
    </row>
    <row r="14" spans="1:17" s="38" customFormat="1" ht="15.75">
      <c r="A14" s="19" t="s">
        <v>156</v>
      </c>
      <c r="B14" s="17" t="s">
        <v>10</v>
      </c>
      <c r="C14" s="67">
        <v>438</v>
      </c>
      <c r="D14" s="67">
        <v>471</v>
      </c>
      <c r="E14" s="17"/>
      <c r="F14" s="67">
        <v>420</v>
      </c>
      <c r="G14" s="67">
        <v>426</v>
      </c>
      <c r="H14" s="17">
        <v>380</v>
      </c>
      <c r="I14" s="67">
        <v>425</v>
      </c>
      <c r="J14" s="17"/>
      <c r="K14" s="17"/>
      <c r="L14" s="27"/>
      <c r="M14" s="28">
        <f t="shared" si="0"/>
        <v>2560</v>
      </c>
      <c r="N14" s="17">
        <v>7</v>
      </c>
      <c r="O14" s="17">
        <v>1</v>
      </c>
      <c r="P14" s="17">
        <v>333</v>
      </c>
      <c r="Q14" s="17">
        <v>2</v>
      </c>
    </row>
    <row r="15" spans="1:18" ht="15.75">
      <c r="A15" s="12" t="s">
        <v>157</v>
      </c>
      <c r="B15" s="1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7">
        <f t="shared" si="0"/>
        <v>0</v>
      </c>
      <c r="R15"/>
    </row>
    <row r="16" spans="1:17" s="38" customFormat="1" ht="15.75">
      <c r="A16" s="19" t="s">
        <v>158</v>
      </c>
      <c r="B16" s="17" t="s">
        <v>8</v>
      </c>
      <c r="C16" s="67">
        <v>439</v>
      </c>
      <c r="D16" s="67">
        <v>484</v>
      </c>
      <c r="E16" s="17">
        <v>364</v>
      </c>
      <c r="F16" s="17">
        <v>409</v>
      </c>
      <c r="G16" s="67">
        <v>440</v>
      </c>
      <c r="H16" s="17">
        <v>394</v>
      </c>
      <c r="I16" s="17"/>
      <c r="J16" s="17"/>
      <c r="K16" s="17"/>
      <c r="L16" s="27"/>
      <c r="M16" s="28">
        <f t="shared" si="0"/>
        <v>2530</v>
      </c>
      <c r="N16" s="17">
        <v>3</v>
      </c>
      <c r="O16" s="17">
        <v>5</v>
      </c>
      <c r="P16" s="17">
        <v>-24</v>
      </c>
      <c r="Q16" s="17">
        <v>0</v>
      </c>
    </row>
    <row r="17" spans="1:17" s="41" customFormat="1" ht="16.5" thickBot="1">
      <c r="A17" s="20" t="s">
        <v>159</v>
      </c>
      <c r="B17" s="39" t="s">
        <v>0</v>
      </c>
      <c r="C17" s="95">
        <v>473</v>
      </c>
      <c r="D17" s="95">
        <v>469</v>
      </c>
      <c r="E17" s="58"/>
      <c r="F17" s="96">
        <v>419</v>
      </c>
      <c r="G17" s="95">
        <v>438</v>
      </c>
      <c r="H17" s="58">
        <v>394</v>
      </c>
      <c r="I17" s="58">
        <v>414</v>
      </c>
      <c r="J17" s="58"/>
      <c r="K17" s="58"/>
      <c r="L17" s="59"/>
      <c r="M17" s="60">
        <f t="shared" si="0"/>
        <v>2607</v>
      </c>
      <c r="N17" s="58">
        <v>5</v>
      </c>
      <c r="O17" s="58">
        <v>3</v>
      </c>
      <c r="P17" s="58">
        <v>100</v>
      </c>
      <c r="Q17" s="58">
        <v>2</v>
      </c>
    </row>
    <row r="18" spans="3:18" ht="16.5" thickTop="1">
      <c r="C18" s="7">
        <f>SUM(C3:C17)</f>
        <v>4858</v>
      </c>
      <c r="D18" s="7">
        <f aca="true" t="shared" si="1" ref="D18:L18">SUM(D3:D17)</f>
        <v>6589</v>
      </c>
      <c r="E18" s="7">
        <f t="shared" si="1"/>
        <v>2709</v>
      </c>
      <c r="F18" s="7">
        <f t="shared" si="1"/>
        <v>5161</v>
      </c>
      <c r="G18" s="7">
        <f t="shared" si="1"/>
        <v>5962</v>
      </c>
      <c r="H18" s="7">
        <f t="shared" si="1"/>
        <v>5239</v>
      </c>
      <c r="I18" s="7">
        <f t="shared" si="1"/>
        <v>4007</v>
      </c>
      <c r="J18" s="7">
        <f t="shared" si="1"/>
        <v>150</v>
      </c>
      <c r="K18" s="7">
        <f>SUM(K3:K17)</f>
        <v>132</v>
      </c>
      <c r="L18" s="7">
        <f t="shared" si="1"/>
        <v>295</v>
      </c>
      <c r="R18"/>
    </row>
    <row r="19" spans="2:18" ht="35.25" customHeight="1">
      <c r="B19" s="93" t="s">
        <v>206</v>
      </c>
      <c r="C19" s="94">
        <f>C18/11</f>
        <v>441.6363636363636</v>
      </c>
      <c r="D19" s="94">
        <f>D18/14</f>
        <v>470.64285714285717</v>
      </c>
      <c r="E19" s="94">
        <f>E18/7.5</f>
        <v>361.2</v>
      </c>
      <c r="F19" s="94">
        <f>F18/12.5</f>
        <v>412.88</v>
      </c>
      <c r="G19" s="94">
        <f>G18/14</f>
        <v>425.85714285714283</v>
      </c>
      <c r="H19" s="94">
        <f>H18/13</f>
        <v>403</v>
      </c>
      <c r="I19" s="94">
        <f>I18/10</f>
        <v>400.7</v>
      </c>
      <c r="J19" s="94">
        <f>J18/1</f>
        <v>150</v>
      </c>
      <c r="K19" s="94">
        <f>K18/1</f>
        <v>132</v>
      </c>
      <c r="L19" s="94">
        <f>L18/1</f>
        <v>295</v>
      </c>
      <c r="N19" s="3" t="s">
        <v>24</v>
      </c>
      <c r="O19" s="101" t="s">
        <v>135</v>
      </c>
      <c r="P19" s="101"/>
      <c r="Q19" s="3" t="s">
        <v>25</v>
      </c>
      <c r="R19" s="13" t="s">
        <v>136</v>
      </c>
    </row>
    <row r="20" spans="14:18" ht="15.75">
      <c r="N20" s="7">
        <f>SUM(M3:M17)</f>
        <v>35102</v>
      </c>
      <c r="O20" s="1">
        <f>SUM(N3:N17)+56</f>
        <v>109</v>
      </c>
      <c r="P20" s="1">
        <f>SUM(O3:O17)+56</f>
        <v>115</v>
      </c>
      <c r="Q20" s="1">
        <f>SUM(P3:P17)</f>
        <v>-308</v>
      </c>
      <c r="R20" s="1">
        <f>SUM(Q3:Q17)+13</f>
        <v>25</v>
      </c>
    </row>
    <row r="21" spans="3:4" ht="15.75">
      <c r="C21" s="103" t="s">
        <v>39</v>
      </c>
      <c r="D21" s="103"/>
    </row>
    <row r="22" spans="3:16" ht="15.75">
      <c r="C22" s="104" t="s">
        <v>160</v>
      </c>
      <c r="D22" s="104"/>
      <c r="O22" s="106" t="s">
        <v>170</v>
      </c>
      <c r="P22" s="106"/>
    </row>
    <row r="23" spans="3:16" ht="15.75">
      <c r="C23" s="105" t="s">
        <v>161</v>
      </c>
      <c r="D23" s="105"/>
      <c r="O23" s="107">
        <f>O20-P20</f>
        <v>-6</v>
      </c>
      <c r="P23" s="107"/>
    </row>
    <row r="25" spans="3:21" ht="15.75">
      <c r="C25" s="29" t="s">
        <v>162</v>
      </c>
      <c r="S25" s="2"/>
      <c r="T25" s="2"/>
      <c r="U25" s="2"/>
    </row>
    <row r="26" spans="2:21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L26" s="13"/>
      <c r="S26" s="2"/>
      <c r="T26" s="2"/>
      <c r="U26" s="2"/>
    </row>
    <row r="27" spans="3:21" ht="15.75">
      <c r="C27" s="1">
        <v>6</v>
      </c>
      <c r="D27" s="1">
        <v>1</v>
      </c>
      <c r="E27" s="1">
        <v>7</v>
      </c>
      <c r="F27" s="1">
        <v>56</v>
      </c>
      <c r="G27" s="1">
        <v>56</v>
      </c>
      <c r="H27" s="109">
        <v>2484</v>
      </c>
      <c r="I27" s="109"/>
      <c r="J27" s="109">
        <v>13</v>
      </c>
      <c r="K27" s="109"/>
      <c r="S27" s="2"/>
      <c r="T27" s="2"/>
      <c r="U27" s="2"/>
    </row>
    <row r="28" spans="3:21" ht="15.75">
      <c r="C28" s="29" t="s">
        <v>167</v>
      </c>
      <c r="N28" s="101" t="s">
        <v>182</v>
      </c>
      <c r="O28" s="101"/>
      <c r="P28" s="7">
        <f>AVERAGE(M4,M5,M6,M7,M8,M10,M11,M12,M13,M3,M14,M9,M16,M17)</f>
        <v>2507.285714285714</v>
      </c>
      <c r="S28" s="2"/>
      <c r="T28" s="2"/>
      <c r="U28" s="2"/>
    </row>
    <row r="29" spans="3:21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L29" s="13"/>
      <c r="S29" s="2"/>
      <c r="T29" s="2"/>
      <c r="U29" s="2"/>
    </row>
    <row r="30" spans="3:21" ht="15.75">
      <c r="C30" s="1">
        <v>3</v>
      </c>
      <c r="E30" s="1">
        <v>5</v>
      </c>
      <c r="F30" s="1">
        <f>N3+N5+N7+N8+N10+N12+N14+N16</f>
        <v>31</v>
      </c>
      <c r="G30" s="1">
        <f>O3+O5+O7+O8+O10+O12+O14+O16</f>
        <v>33</v>
      </c>
      <c r="H30" s="108">
        <f>M3+M5+M7+M8+M10+M12+M14+M16</f>
        <v>19945</v>
      </c>
      <c r="I30" s="109"/>
      <c r="J30" s="109">
        <f>Q3+Q5+Q7+Q8+Q10+Q12+Q14+Q16</f>
        <v>6</v>
      </c>
      <c r="K30" s="109"/>
      <c r="S30" s="2"/>
      <c r="T30" s="2"/>
      <c r="U30" s="2"/>
    </row>
    <row r="31" spans="3:21" ht="15.75">
      <c r="C31" s="29" t="s">
        <v>169</v>
      </c>
      <c r="S31" s="2"/>
      <c r="T31" s="2"/>
      <c r="U31" s="2"/>
    </row>
    <row r="32" spans="3:21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L32" s="13"/>
      <c r="S32" s="2"/>
      <c r="T32" s="2"/>
      <c r="U32" s="2"/>
    </row>
    <row r="33" spans="3:21" ht="15.75">
      <c r="C33" s="1">
        <v>3</v>
      </c>
      <c r="E33" s="1">
        <v>3</v>
      </c>
      <c r="F33" s="7">
        <f>N4+N6+N9+N11+N13+N17</f>
        <v>22</v>
      </c>
      <c r="G33" s="7">
        <f>O4+O6+O9+O11+O13+O17</f>
        <v>26</v>
      </c>
      <c r="H33" s="108">
        <f>M4+M6+M9+M11+M13+M17</f>
        <v>15157</v>
      </c>
      <c r="I33" s="109"/>
      <c r="J33" s="108">
        <f>Q4+Q6+Q9+Q11+Q13+Q17</f>
        <v>6</v>
      </c>
      <c r="K33" s="109"/>
      <c r="S33" s="2"/>
      <c r="T33" s="2"/>
      <c r="U33" s="2"/>
    </row>
  </sheetData>
  <mergeCells count="24">
    <mergeCell ref="N28:O28"/>
    <mergeCell ref="J29:K29"/>
    <mergeCell ref="H33:I33"/>
    <mergeCell ref="J33:K33"/>
    <mergeCell ref="H30:I30"/>
    <mergeCell ref="J30:K30"/>
    <mergeCell ref="F26:G26"/>
    <mergeCell ref="H26:I26"/>
    <mergeCell ref="J26:K26"/>
    <mergeCell ref="F32:G32"/>
    <mergeCell ref="H32:I32"/>
    <mergeCell ref="J32:K32"/>
    <mergeCell ref="H27:I27"/>
    <mergeCell ref="J27:K27"/>
    <mergeCell ref="F29:G29"/>
    <mergeCell ref="H29:I29"/>
    <mergeCell ref="O23:P23"/>
    <mergeCell ref="C1:M1"/>
    <mergeCell ref="O1:P1"/>
    <mergeCell ref="C22:D22"/>
    <mergeCell ref="O19:P19"/>
    <mergeCell ref="C21:D21"/>
    <mergeCell ref="O22:P22"/>
    <mergeCell ref="C23:D2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1" sqref="E3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9" width="9.125" style="1" customWidth="1"/>
    <col min="10" max="10" width="11.00390625" style="1" customWidth="1"/>
    <col min="11" max="12" width="9.125" style="1" customWidth="1"/>
    <col min="13" max="13" width="15.875" style="1" bestFit="1" customWidth="1"/>
    <col min="14" max="14" width="11.25390625" style="1" customWidth="1"/>
    <col min="15" max="15" width="11.875" style="1" customWidth="1"/>
    <col min="16" max="16" width="13.375" style="1" customWidth="1"/>
    <col min="17" max="17" width="10.87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2:17" ht="48" thickBot="1">
      <c r="B2" s="3" t="s">
        <v>15</v>
      </c>
      <c r="C2" s="11" t="s">
        <v>69</v>
      </c>
      <c r="D2" s="11" t="s">
        <v>70</v>
      </c>
      <c r="E2" s="11" t="s">
        <v>71</v>
      </c>
      <c r="F2" s="11" t="s">
        <v>72</v>
      </c>
      <c r="G2" s="11" t="s">
        <v>73</v>
      </c>
      <c r="H2" s="11" t="s">
        <v>74</v>
      </c>
      <c r="I2" s="11" t="s">
        <v>126</v>
      </c>
      <c r="J2" s="11" t="s">
        <v>179</v>
      </c>
      <c r="K2" s="11"/>
      <c r="L2" s="11"/>
      <c r="M2" s="14" t="s">
        <v>24</v>
      </c>
      <c r="N2" s="14" t="s">
        <v>4</v>
      </c>
      <c r="O2" s="14" t="s">
        <v>23</v>
      </c>
      <c r="P2" s="14" t="s">
        <v>25</v>
      </c>
      <c r="Q2" s="13" t="s">
        <v>134</v>
      </c>
    </row>
    <row r="3" spans="1:17" s="38" customFormat="1" ht="15.75">
      <c r="A3" s="19" t="s">
        <v>145</v>
      </c>
      <c r="B3" s="17" t="s">
        <v>18</v>
      </c>
      <c r="C3" s="17">
        <v>369</v>
      </c>
      <c r="D3" s="19">
        <v>373</v>
      </c>
      <c r="E3" s="67">
        <v>411</v>
      </c>
      <c r="F3" s="67">
        <v>405</v>
      </c>
      <c r="G3" s="19"/>
      <c r="H3" s="67">
        <v>417</v>
      </c>
      <c r="I3" s="19"/>
      <c r="J3" s="67">
        <v>417</v>
      </c>
      <c r="K3" s="17"/>
      <c r="L3" s="27"/>
      <c r="M3" s="28">
        <f aca="true" t="shared" si="0" ref="M3:M17">SUM(C3:L3)</f>
        <v>2392</v>
      </c>
      <c r="N3" s="17">
        <v>4</v>
      </c>
      <c r="O3" s="17">
        <v>4</v>
      </c>
      <c r="P3" s="17">
        <v>-21</v>
      </c>
      <c r="Q3" s="17">
        <v>1</v>
      </c>
    </row>
    <row r="4" spans="1:17" s="41" customFormat="1" ht="15.75">
      <c r="A4" s="20" t="s">
        <v>146</v>
      </c>
      <c r="B4" s="39" t="s">
        <v>6</v>
      </c>
      <c r="C4" s="39">
        <v>394</v>
      </c>
      <c r="D4" s="20"/>
      <c r="E4" s="20">
        <v>385</v>
      </c>
      <c r="F4" s="20">
        <v>409</v>
      </c>
      <c r="G4" s="68">
        <v>415</v>
      </c>
      <c r="H4" s="68">
        <v>435</v>
      </c>
      <c r="I4" s="20"/>
      <c r="J4" s="68">
        <v>470</v>
      </c>
      <c r="K4" s="39"/>
      <c r="L4" s="57"/>
      <c r="M4" s="49">
        <f t="shared" si="0"/>
        <v>2508</v>
      </c>
      <c r="N4" s="39">
        <v>5</v>
      </c>
      <c r="O4" s="39">
        <v>3</v>
      </c>
      <c r="P4" s="39">
        <v>54</v>
      </c>
      <c r="Q4" s="39">
        <v>2</v>
      </c>
    </row>
    <row r="5" spans="1:17" s="38" customFormat="1" ht="15.75">
      <c r="A5" s="19" t="s">
        <v>147</v>
      </c>
      <c r="B5" s="17" t="s">
        <v>5</v>
      </c>
      <c r="C5" s="17">
        <v>366</v>
      </c>
      <c r="D5" s="19"/>
      <c r="E5" s="19">
        <v>369</v>
      </c>
      <c r="F5" s="19">
        <v>372</v>
      </c>
      <c r="G5" s="19">
        <v>395</v>
      </c>
      <c r="H5" s="67">
        <v>450</v>
      </c>
      <c r="I5" s="19"/>
      <c r="J5" s="67">
        <v>403</v>
      </c>
      <c r="K5" s="17"/>
      <c r="L5" s="27"/>
      <c r="M5" s="28">
        <f t="shared" si="0"/>
        <v>2355</v>
      </c>
      <c r="N5" s="17">
        <v>2</v>
      </c>
      <c r="O5" s="17">
        <v>6</v>
      </c>
      <c r="P5" s="17">
        <v>-106</v>
      </c>
      <c r="Q5" s="17">
        <v>0</v>
      </c>
    </row>
    <row r="6" spans="1:17" s="38" customFormat="1" ht="15.75">
      <c r="A6" s="19" t="s">
        <v>148</v>
      </c>
      <c r="B6" s="17" t="s">
        <v>2</v>
      </c>
      <c r="C6" s="17"/>
      <c r="D6" s="19">
        <v>365</v>
      </c>
      <c r="E6" s="19">
        <v>400</v>
      </c>
      <c r="F6" s="19">
        <v>377</v>
      </c>
      <c r="G6" s="67">
        <v>406</v>
      </c>
      <c r="H6" s="67">
        <v>450</v>
      </c>
      <c r="I6" s="19"/>
      <c r="J6" s="17">
        <v>385</v>
      </c>
      <c r="K6" s="17"/>
      <c r="L6" s="27"/>
      <c r="M6" s="28">
        <f t="shared" si="0"/>
        <v>2383</v>
      </c>
      <c r="N6" s="17">
        <v>2</v>
      </c>
      <c r="O6" s="17">
        <v>6</v>
      </c>
      <c r="P6" s="17">
        <v>-54</v>
      </c>
      <c r="Q6" s="17">
        <v>0</v>
      </c>
    </row>
    <row r="7" spans="1:17" s="41" customFormat="1" ht="15.75">
      <c r="A7" s="20" t="s">
        <v>149</v>
      </c>
      <c r="B7" s="39" t="s">
        <v>3</v>
      </c>
      <c r="C7" s="39">
        <v>401</v>
      </c>
      <c r="D7" s="68">
        <v>434</v>
      </c>
      <c r="E7" s="20">
        <v>364</v>
      </c>
      <c r="F7" s="20">
        <v>381</v>
      </c>
      <c r="G7" s="20"/>
      <c r="H7" s="68">
        <v>445</v>
      </c>
      <c r="I7" s="20"/>
      <c r="J7" s="68">
        <v>417</v>
      </c>
      <c r="K7" s="39"/>
      <c r="L7" s="57"/>
      <c r="M7" s="49">
        <f t="shared" si="0"/>
        <v>2442</v>
      </c>
      <c r="N7" s="39">
        <v>5</v>
      </c>
      <c r="O7" s="39">
        <v>3</v>
      </c>
      <c r="P7" s="39">
        <v>71</v>
      </c>
      <c r="Q7" s="39">
        <v>2</v>
      </c>
    </row>
    <row r="8" spans="1:17" s="38" customFormat="1" ht="15.75">
      <c r="A8" s="19" t="s">
        <v>150</v>
      </c>
      <c r="B8" s="17" t="s">
        <v>16</v>
      </c>
      <c r="C8" s="17"/>
      <c r="D8" s="17">
        <v>379</v>
      </c>
      <c r="E8" s="67">
        <v>418</v>
      </c>
      <c r="F8" s="17">
        <v>395</v>
      </c>
      <c r="G8" s="17">
        <v>415</v>
      </c>
      <c r="H8" s="17">
        <v>416</v>
      </c>
      <c r="I8" s="17"/>
      <c r="J8" s="67">
        <v>436</v>
      </c>
      <c r="K8" s="17"/>
      <c r="L8" s="27"/>
      <c r="M8" s="28">
        <f t="shared" si="0"/>
        <v>2459</v>
      </c>
      <c r="N8" s="17">
        <v>2</v>
      </c>
      <c r="O8" s="17">
        <v>6</v>
      </c>
      <c r="P8" s="17">
        <v>-51</v>
      </c>
      <c r="Q8" s="17">
        <v>0</v>
      </c>
    </row>
    <row r="9" spans="1:17" s="41" customFormat="1" ht="15.75">
      <c r="A9" s="20" t="s">
        <v>151</v>
      </c>
      <c r="B9" s="39" t="s">
        <v>14</v>
      </c>
      <c r="C9" s="39">
        <v>380</v>
      </c>
      <c r="D9" s="68">
        <v>440</v>
      </c>
      <c r="E9" s="39"/>
      <c r="F9" s="39">
        <v>346</v>
      </c>
      <c r="G9" s="39">
        <v>369</v>
      </c>
      <c r="H9" s="68">
        <v>420</v>
      </c>
      <c r="I9" s="39"/>
      <c r="J9" s="39">
        <v>416</v>
      </c>
      <c r="K9" s="39"/>
      <c r="L9" s="57"/>
      <c r="M9" s="49">
        <f t="shared" si="0"/>
        <v>2371</v>
      </c>
      <c r="N9" s="39">
        <v>2</v>
      </c>
      <c r="O9" s="39">
        <v>6</v>
      </c>
      <c r="P9" s="39">
        <v>-211</v>
      </c>
      <c r="Q9" s="39">
        <v>0</v>
      </c>
    </row>
    <row r="10" spans="1:17" s="38" customFormat="1" ht="15.75">
      <c r="A10" s="19" t="s">
        <v>152</v>
      </c>
      <c r="B10" s="17" t="s">
        <v>13</v>
      </c>
      <c r="C10" s="19"/>
      <c r="D10" s="19">
        <v>362</v>
      </c>
      <c r="E10" s="19">
        <v>368</v>
      </c>
      <c r="F10" s="19">
        <v>364</v>
      </c>
      <c r="G10" s="19">
        <v>366</v>
      </c>
      <c r="H10" s="67">
        <v>426</v>
      </c>
      <c r="I10" s="19"/>
      <c r="J10" s="19">
        <v>382</v>
      </c>
      <c r="K10" s="17"/>
      <c r="L10" s="27"/>
      <c r="M10" s="28">
        <f t="shared" si="0"/>
        <v>2268</v>
      </c>
      <c r="N10" s="17">
        <v>1</v>
      </c>
      <c r="O10" s="17">
        <v>7</v>
      </c>
      <c r="P10" s="17">
        <v>-297</v>
      </c>
      <c r="Q10" s="17">
        <v>0</v>
      </c>
    </row>
    <row r="11" spans="1:17" s="41" customFormat="1" ht="15.75">
      <c r="A11" s="20" t="s">
        <v>153</v>
      </c>
      <c r="B11" s="39" t="s">
        <v>12</v>
      </c>
      <c r="C11" s="39">
        <v>336</v>
      </c>
      <c r="D11" s="39">
        <v>331</v>
      </c>
      <c r="E11" s="39">
        <v>402</v>
      </c>
      <c r="F11" s="39"/>
      <c r="G11" s="68">
        <v>444</v>
      </c>
      <c r="H11" s="68">
        <v>414</v>
      </c>
      <c r="I11" s="39"/>
      <c r="J11" s="39">
        <v>393</v>
      </c>
      <c r="K11" s="39"/>
      <c r="L11" s="57"/>
      <c r="M11" s="49">
        <f>SUM(C11:L11)</f>
        <v>2320</v>
      </c>
      <c r="N11" s="39">
        <v>2</v>
      </c>
      <c r="O11" s="39">
        <v>6</v>
      </c>
      <c r="P11" s="39">
        <v>-230</v>
      </c>
      <c r="Q11" s="39">
        <v>0</v>
      </c>
    </row>
    <row r="12" spans="1:17" s="38" customFormat="1" ht="15.75">
      <c r="A12" s="19" t="s">
        <v>154</v>
      </c>
      <c r="B12" s="17" t="s">
        <v>11</v>
      </c>
      <c r="C12" s="17">
        <v>404</v>
      </c>
      <c r="D12" s="17"/>
      <c r="E12" s="67">
        <v>420</v>
      </c>
      <c r="F12" s="17">
        <v>369</v>
      </c>
      <c r="G12" s="17">
        <v>363</v>
      </c>
      <c r="H12" s="67">
        <v>470</v>
      </c>
      <c r="I12" s="17"/>
      <c r="J12" s="67">
        <v>420</v>
      </c>
      <c r="K12" s="17"/>
      <c r="L12" s="27"/>
      <c r="M12" s="28">
        <f t="shared" si="0"/>
        <v>2446</v>
      </c>
      <c r="N12" s="17">
        <v>3</v>
      </c>
      <c r="O12" s="17">
        <v>5</v>
      </c>
      <c r="P12" s="17">
        <v>-122</v>
      </c>
      <c r="Q12" s="17">
        <v>0</v>
      </c>
    </row>
    <row r="13" spans="1:17" s="41" customFormat="1" ht="15.75">
      <c r="A13" s="20" t="s">
        <v>155</v>
      </c>
      <c r="B13" s="39" t="s">
        <v>10</v>
      </c>
      <c r="C13" s="39">
        <v>351</v>
      </c>
      <c r="D13" s="39">
        <v>379</v>
      </c>
      <c r="E13" s="39">
        <v>355</v>
      </c>
      <c r="F13" s="68">
        <v>393</v>
      </c>
      <c r="G13" s="39"/>
      <c r="H13" s="68">
        <v>424</v>
      </c>
      <c r="I13" s="39"/>
      <c r="J13" s="68">
        <v>408</v>
      </c>
      <c r="K13" s="39"/>
      <c r="L13" s="57"/>
      <c r="M13" s="49">
        <f t="shared" si="0"/>
        <v>2310</v>
      </c>
      <c r="N13" s="39">
        <v>5</v>
      </c>
      <c r="O13" s="39">
        <v>3</v>
      </c>
      <c r="P13" s="39">
        <v>39</v>
      </c>
      <c r="Q13" s="39">
        <v>2</v>
      </c>
    </row>
    <row r="14" spans="1:13" ht="15.75">
      <c r="A14" s="12" t="s">
        <v>156</v>
      </c>
      <c r="B14" s="1" t="s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7">
        <f t="shared" si="0"/>
        <v>0</v>
      </c>
    </row>
    <row r="15" spans="1:17" s="41" customFormat="1" ht="15.75">
      <c r="A15" s="20" t="s">
        <v>157</v>
      </c>
      <c r="B15" s="39" t="s">
        <v>8</v>
      </c>
      <c r="C15" s="39">
        <v>348</v>
      </c>
      <c r="D15" s="39"/>
      <c r="E15" s="68">
        <v>420</v>
      </c>
      <c r="F15" s="39">
        <v>393</v>
      </c>
      <c r="G15" s="39">
        <v>386</v>
      </c>
      <c r="H15" s="39">
        <v>405</v>
      </c>
      <c r="I15" s="39"/>
      <c r="J15" s="39">
        <v>407</v>
      </c>
      <c r="K15" s="39"/>
      <c r="L15" s="57"/>
      <c r="M15" s="49">
        <f t="shared" si="0"/>
        <v>2359</v>
      </c>
      <c r="N15" s="39">
        <v>1</v>
      </c>
      <c r="O15" s="39">
        <v>7</v>
      </c>
      <c r="P15" s="39">
        <v>-298</v>
      </c>
      <c r="Q15" s="39">
        <v>0</v>
      </c>
    </row>
    <row r="16" spans="1:17" s="38" customFormat="1" ht="15.75">
      <c r="A16" s="19" t="s">
        <v>158</v>
      </c>
      <c r="B16" s="17" t="s">
        <v>0</v>
      </c>
      <c r="C16" s="17"/>
      <c r="D16" s="17">
        <v>366</v>
      </c>
      <c r="E16" s="17">
        <v>383</v>
      </c>
      <c r="F16" s="17">
        <v>360</v>
      </c>
      <c r="G16" s="17">
        <v>352</v>
      </c>
      <c r="H16" s="67">
        <v>400</v>
      </c>
      <c r="I16" s="17"/>
      <c r="J16" s="17">
        <v>381</v>
      </c>
      <c r="K16" s="17"/>
      <c r="L16" s="27"/>
      <c r="M16" s="28">
        <f t="shared" si="0"/>
        <v>2242</v>
      </c>
      <c r="N16" s="17">
        <v>1</v>
      </c>
      <c r="O16" s="17">
        <v>7</v>
      </c>
      <c r="P16" s="17">
        <v>-252</v>
      </c>
      <c r="Q16" s="17">
        <v>0</v>
      </c>
    </row>
    <row r="17" spans="1:17" s="41" customFormat="1" ht="16.5" thickBot="1">
      <c r="A17" s="20" t="s">
        <v>159</v>
      </c>
      <c r="B17" s="39" t="s">
        <v>1</v>
      </c>
      <c r="C17" s="58">
        <v>367</v>
      </c>
      <c r="D17" s="58">
        <v>397</v>
      </c>
      <c r="E17" s="58">
        <v>416</v>
      </c>
      <c r="F17" s="58"/>
      <c r="G17" s="95">
        <v>423</v>
      </c>
      <c r="H17" s="58">
        <v>409</v>
      </c>
      <c r="I17" s="58"/>
      <c r="J17" s="58">
        <v>398</v>
      </c>
      <c r="K17" s="58"/>
      <c r="L17" s="59"/>
      <c r="M17" s="60">
        <f t="shared" si="0"/>
        <v>2410</v>
      </c>
      <c r="N17" s="58">
        <v>1</v>
      </c>
      <c r="O17" s="58">
        <v>7</v>
      </c>
      <c r="P17" s="58">
        <v>-201</v>
      </c>
      <c r="Q17" s="58">
        <v>0</v>
      </c>
    </row>
    <row r="18" spans="3:12" ht="16.5" thickTop="1">
      <c r="C18" s="7">
        <f>SUM(C3:C17)</f>
        <v>3716</v>
      </c>
      <c r="D18" s="7">
        <f aca="true" t="shared" si="1" ref="D18:L18">SUM(D3:D17)</f>
        <v>3826</v>
      </c>
      <c r="E18" s="7">
        <f t="shared" si="1"/>
        <v>5111</v>
      </c>
      <c r="F18" s="7">
        <f t="shared" si="1"/>
        <v>4564</v>
      </c>
      <c r="G18" s="7">
        <f t="shared" si="1"/>
        <v>4334</v>
      </c>
      <c r="H18" s="7">
        <f t="shared" si="1"/>
        <v>5981</v>
      </c>
      <c r="I18" s="7">
        <f t="shared" si="1"/>
        <v>0</v>
      </c>
      <c r="J18" s="7">
        <f t="shared" si="1"/>
        <v>5733</v>
      </c>
      <c r="K18" s="7">
        <f t="shared" si="1"/>
        <v>0</v>
      </c>
      <c r="L18" s="7">
        <f t="shared" si="1"/>
        <v>0</v>
      </c>
    </row>
    <row r="19" spans="2:17" ht="33" customHeight="1">
      <c r="B19" s="93" t="s">
        <v>206</v>
      </c>
      <c r="C19" s="94">
        <f>C18/10</f>
        <v>371.6</v>
      </c>
      <c r="D19" s="94">
        <f>D18/10</f>
        <v>382.6</v>
      </c>
      <c r="E19" s="94">
        <f>E18/13</f>
        <v>393.15384615384613</v>
      </c>
      <c r="F19" s="94">
        <f>F18/12</f>
        <v>380.3333333333333</v>
      </c>
      <c r="G19" s="94">
        <f>G18/11</f>
        <v>394</v>
      </c>
      <c r="H19" s="94">
        <f>H18/14</f>
        <v>427.2142857142857</v>
      </c>
      <c r="I19" s="94">
        <f>I18/9</f>
        <v>0</v>
      </c>
      <c r="J19" s="94">
        <f>J18/14</f>
        <v>409.5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13:17" ht="15.75">
      <c r="M20" s="7">
        <f>SUM(M3:M17)</f>
        <v>33265</v>
      </c>
      <c r="N20" s="1">
        <f>SUM(N3:N17)+27</f>
        <v>63</v>
      </c>
      <c r="O20" s="1">
        <f>SUM(O3:O17)+85</f>
        <v>161</v>
      </c>
      <c r="P20" s="1">
        <f>SUM(P3:P17)</f>
        <v>-1679</v>
      </c>
      <c r="Q20" s="1">
        <f>SUM(Q3:Q17)+2</f>
        <v>9</v>
      </c>
    </row>
    <row r="21" spans="3:4" ht="15.75">
      <c r="C21" s="103" t="s">
        <v>39</v>
      </c>
      <c r="D21" s="103"/>
    </row>
    <row r="22" spans="3:15" ht="15.75">
      <c r="C22" s="104" t="s">
        <v>160</v>
      </c>
      <c r="D22" s="104"/>
      <c r="N22" s="106" t="s">
        <v>170</v>
      </c>
      <c r="O22" s="106"/>
    </row>
    <row r="23" spans="3:15" ht="15.75">
      <c r="C23" s="105" t="s">
        <v>161</v>
      </c>
      <c r="D23" s="105"/>
      <c r="N23" s="107">
        <f>N20-O20</f>
        <v>-98</v>
      </c>
      <c r="O23" s="107"/>
    </row>
    <row r="25" spans="3:20" ht="15.75">
      <c r="C25" s="29" t="s">
        <v>162</v>
      </c>
      <c r="R25" s="2"/>
      <c r="S25" s="2"/>
      <c r="T25" s="2"/>
    </row>
    <row r="26" spans="2:20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R26" s="2"/>
      <c r="S26" s="2"/>
      <c r="T26" s="2"/>
    </row>
    <row r="27" spans="2:20" ht="15.75">
      <c r="B27" s="1" t="s">
        <v>193</v>
      </c>
      <c r="C27" s="1">
        <v>1</v>
      </c>
      <c r="E27" s="1">
        <v>13</v>
      </c>
      <c r="F27" s="1">
        <v>27</v>
      </c>
      <c r="G27" s="1">
        <v>85</v>
      </c>
      <c r="H27" s="109">
        <v>2349</v>
      </c>
      <c r="I27" s="109"/>
      <c r="J27" s="109">
        <v>2</v>
      </c>
      <c r="K27" s="109"/>
      <c r="M27" s="101" t="s">
        <v>182</v>
      </c>
      <c r="N27" s="101"/>
      <c r="O27" s="7">
        <f>AVERAGE(M3,M4,M5,M6,M7,M9,M11,M12,M15,M13,M8,M16,M17,M10)</f>
        <v>2376.0714285714284</v>
      </c>
      <c r="R27" s="2"/>
      <c r="S27" s="2"/>
      <c r="T27" s="2"/>
    </row>
    <row r="28" spans="3:20" ht="15.75">
      <c r="C28" s="29" t="s">
        <v>167</v>
      </c>
      <c r="R28" s="2"/>
      <c r="S28" s="2"/>
      <c r="T28" s="2"/>
    </row>
    <row r="29" spans="3:20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R29" s="2"/>
      <c r="S29" s="2"/>
      <c r="T29" s="2"/>
    </row>
    <row r="30" spans="4:20" ht="15.75">
      <c r="D30" s="1">
        <v>1</v>
      </c>
      <c r="E30" s="1">
        <v>6</v>
      </c>
      <c r="F30" s="1">
        <f>N3+N5+N6+N8+N10+N12+N16</f>
        <v>15</v>
      </c>
      <c r="G30" s="1">
        <f>O3+O5+O6+O8+O10+O12+O16</f>
        <v>41</v>
      </c>
      <c r="H30" s="108">
        <f>M3+M5+M6+M8+M10+M12+M16</f>
        <v>16545</v>
      </c>
      <c r="I30" s="109"/>
      <c r="J30" s="109">
        <f>Q3+Q5+Q6+Q8+Q10+Q12+Q16</f>
        <v>1</v>
      </c>
      <c r="K30" s="109"/>
      <c r="R30" s="2"/>
      <c r="S30" s="2"/>
      <c r="T30" s="2"/>
    </row>
    <row r="31" spans="3:20" ht="15.75">
      <c r="C31" s="29" t="s">
        <v>169</v>
      </c>
      <c r="R31" s="2"/>
      <c r="S31" s="2"/>
      <c r="T31" s="2"/>
    </row>
    <row r="32" spans="3:20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R32" s="2"/>
      <c r="S32" s="2"/>
      <c r="T32" s="2"/>
    </row>
    <row r="33" spans="3:20" ht="15.75">
      <c r="C33" s="1">
        <v>3</v>
      </c>
      <c r="E33" s="1">
        <v>4</v>
      </c>
      <c r="F33" s="7">
        <f>N4+N7+N9+N11+N13+N15+N17</f>
        <v>21</v>
      </c>
      <c r="G33" s="7">
        <f>O4+O7+O9+O11+O13+O15+O17</f>
        <v>35</v>
      </c>
      <c r="H33" s="108">
        <f>M4+M7+M9+M11+M13+M15+M17</f>
        <v>16720</v>
      </c>
      <c r="I33" s="109"/>
      <c r="J33" s="108">
        <f>Q4+Q7+Q9+Q11+Q13+Q15+Q17</f>
        <v>6</v>
      </c>
      <c r="K33" s="109"/>
      <c r="R33" s="2"/>
      <c r="S33" s="2"/>
      <c r="T33" s="2"/>
    </row>
  </sheetData>
  <mergeCells count="24">
    <mergeCell ref="M27:N27"/>
    <mergeCell ref="J29:K29"/>
    <mergeCell ref="H33:I33"/>
    <mergeCell ref="J33:K33"/>
    <mergeCell ref="H30:I30"/>
    <mergeCell ref="J30:K30"/>
    <mergeCell ref="F26:G26"/>
    <mergeCell ref="H26:I26"/>
    <mergeCell ref="J26:K26"/>
    <mergeCell ref="F32:G32"/>
    <mergeCell ref="H32:I32"/>
    <mergeCell ref="J32:K32"/>
    <mergeCell ref="H27:I27"/>
    <mergeCell ref="J27:K27"/>
    <mergeCell ref="F29:G29"/>
    <mergeCell ref="H29:I29"/>
    <mergeCell ref="N23:O23"/>
    <mergeCell ref="C1:L1"/>
    <mergeCell ref="N1:O1"/>
    <mergeCell ref="C22:D22"/>
    <mergeCell ref="N19:O19"/>
    <mergeCell ref="C21:D21"/>
    <mergeCell ref="N22:O22"/>
    <mergeCell ref="C23:D2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9" sqref="J9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6" width="9.125" style="1" customWidth="1"/>
    <col min="7" max="7" width="12.00390625" style="1" customWidth="1"/>
    <col min="8" max="8" width="11.25390625" style="1" bestFit="1" customWidth="1"/>
    <col min="9" max="9" width="10.375" style="1" bestFit="1" customWidth="1"/>
    <col min="10" max="12" width="9.125" style="1" customWidth="1"/>
    <col min="13" max="13" width="15.875" style="1" bestFit="1" customWidth="1"/>
    <col min="14" max="14" width="14.875" style="1" bestFit="1" customWidth="1"/>
    <col min="15" max="15" width="11.25390625" style="1" customWidth="1"/>
    <col min="16" max="16" width="13.625" style="1" bestFit="1" customWidth="1"/>
    <col min="17" max="17" width="13.375" style="1" customWidth="1"/>
    <col min="18" max="18" width="11.00390625" style="1" customWidth="1"/>
  </cols>
  <sheetData>
    <row r="1" spans="3:21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101" t="s">
        <v>22</v>
      </c>
      <c r="P1" s="101"/>
      <c r="S1" s="2"/>
      <c r="T1" s="2"/>
      <c r="U1" s="2"/>
    </row>
    <row r="2" spans="2:18" ht="34.5" customHeight="1" thickBot="1">
      <c r="B2" s="3" t="s">
        <v>15</v>
      </c>
      <c r="C2" s="11" t="s">
        <v>96</v>
      </c>
      <c r="D2" s="11" t="s">
        <v>97</v>
      </c>
      <c r="E2" s="11" t="s">
        <v>98</v>
      </c>
      <c r="F2" s="11" t="s">
        <v>99</v>
      </c>
      <c r="G2" s="11" t="s">
        <v>100</v>
      </c>
      <c r="H2" s="11" t="s">
        <v>101</v>
      </c>
      <c r="I2" s="11" t="s">
        <v>118</v>
      </c>
      <c r="J2" s="11" t="s">
        <v>117</v>
      </c>
      <c r="K2" s="11" t="s">
        <v>195</v>
      </c>
      <c r="L2" s="11" t="s">
        <v>137</v>
      </c>
      <c r="M2" s="14" t="s">
        <v>24</v>
      </c>
      <c r="N2" s="14" t="s">
        <v>10</v>
      </c>
      <c r="O2" s="14" t="s">
        <v>23</v>
      </c>
      <c r="P2" s="14" t="s">
        <v>25</v>
      </c>
      <c r="Q2" s="13" t="s">
        <v>134</v>
      </c>
      <c r="R2"/>
    </row>
    <row r="3" spans="1:17" s="41" customFormat="1" ht="15.75">
      <c r="A3" s="20" t="s">
        <v>145</v>
      </c>
      <c r="B3" s="39" t="s">
        <v>12</v>
      </c>
      <c r="C3" s="68">
        <v>432</v>
      </c>
      <c r="D3" s="39">
        <v>359</v>
      </c>
      <c r="E3" s="39">
        <v>377</v>
      </c>
      <c r="F3" s="39"/>
      <c r="G3" s="20">
        <v>388</v>
      </c>
      <c r="H3" s="20">
        <v>404</v>
      </c>
      <c r="I3" s="20"/>
      <c r="J3" s="20"/>
      <c r="K3" s="39"/>
      <c r="L3" s="57">
        <v>346</v>
      </c>
      <c r="M3" s="49">
        <f aca="true" t="shared" si="0" ref="M3:M17">SUM(C3:L3)</f>
        <v>2306</v>
      </c>
      <c r="N3" s="39">
        <v>1</v>
      </c>
      <c r="O3" s="39">
        <v>7</v>
      </c>
      <c r="P3" s="39">
        <v>-264</v>
      </c>
      <c r="Q3" s="39">
        <v>0</v>
      </c>
    </row>
    <row r="4" spans="1:17" s="38" customFormat="1" ht="15.75">
      <c r="A4" s="19" t="s">
        <v>146</v>
      </c>
      <c r="B4" s="17" t="s">
        <v>11</v>
      </c>
      <c r="C4" s="67">
        <v>393</v>
      </c>
      <c r="D4" s="17"/>
      <c r="E4" s="17">
        <v>372</v>
      </c>
      <c r="F4" s="17">
        <v>370</v>
      </c>
      <c r="G4" s="19">
        <v>352</v>
      </c>
      <c r="H4" s="67">
        <v>402</v>
      </c>
      <c r="I4" s="19"/>
      <c r="J4" s="19"/>
      <c r="K4" s="17">
        <v>370</v>
      </c>
      <c r="L4" s="27"/>
      <c r="M4" s="28">
        <f t="shared" si="0"/>
        <v>2259</v>
      </c>
      <c r="N4" s="17">
        <v>2</v>
      </c>
      <c r="O4" s="17">
        <v>6</v>
      </c>
      <c r="P4" s="17">
        <v>-87</v>
      </c>
      <c r="Q4" s="17">
        <v>0</v>
      </c>
    </row>
    <row r="5" spans="1:17" s="41" customFormat="1" ht="15.75">
      <c r="A5" s="20" t="s">
        <v>147</v>
      </c>
      <c r="B5" s="39" t="s">
        <v>2</v>
      </c>
      <c r="C5" s="39">
        <v>379</v>
      </c>
      <c r="D5" s="39"/>
      <c r="E5" s="39">
        <v>372</v>
      </c>
      <c r="F5" s="39"/>
      <c r="G5" s="20"/>
      <c r="H5" s="68">
        <v>449</v>
      </c>
      <c r="I5" s="20">
        <v>387</v>
      </c>
      <c r="J5" s="20">
        <v>379</v>
      </c>
      <c r="K5" s="68">
        <v>411</v>
      </c>
      <c r="L5" s="57"/>
      <c r="M5" s="49">
        <f t="shared" si="0"/>
        <v>2377</v>
      </c>
      <c r="N5" s="39">
        <v>2</v>
      </c>
      <c r="O5" s="39">
        <v>6</v>
      </c>
      <c r="P5" s="39">
        <v>-100</v>
      </c>
      <c r="Q5" s="39">
        <v>0</v>
      </c>
    </row>
    <row r="6" spans="1:18" ht="15.75">
      <c r="A6" s="12" t="s">
        <v>148</v>
      </c>
      <c r="B6" s="1" t="s">
        <v>9</v>
      </c>
      <c r="C6" s="15"/>
      <c r="D6" s="15"/>
      <c r="E6" s="15"/>
      <c r="F6" s="15"/>
      <c r="G6" s="15"/>
      <c r="H6" s="15"/>
      <c r="I6" s="15"/>
      <c r="J6" s="15"/>
      <c r="K6" s="15"/>
      <c r="L6" s="16"/>
      <c r="M6" s="7">
        <f t="shared" si="0"/>
        <v>0</v>
      </c>
      <c r="R6"/>
    </row>
    <row r="7" spans="1:17" s="38" customFormat="1" ht="15.75">
      <c r="A7" s="19" t="s">
        <v>149</v>
      </c>
      <c r="B7" s="17" t="s">
        <v>8</v>
      </c>
      <c r="C7" s="67">
        <v>416</v>
      </c>
      <c r="D7" s="17">
        <v>366</v>
      </c>
      <c r="E7" s="17">
        <v>375</v>
      </c>
      <c r="F7" s="17">
        <v>384</v>
      </c>
      <c r="G7" s="67">
        <v>417</v>
      </c>
      <c r="H7" s="17"/>
      <c r="I7" s="17"/>
      <c r="J7" s="17"/>
      <c r="K7" s="17">
        <v>363</v>
      </c>
      <c r="L7" s="27"/>
      <c r="M7" s="28">
        <f t="shared" si="0"/>
        <v>2321</v>
      </c>
      <c r="N7" s="17">
        <v>2</v>
      </c>
      <c r="O7" s="17">
        <v>6</v>
      </c>
      <c r="P7" s="17">
        <v>-143</v>
      </c>
      <c r="Q7" s="17">
        <v>0</v>
      </c>
    </row>
    <row r="8" spans="1:17" s="41" customFormat="1" ht="15.75">
      <c r="A8" s="20" t="s">
        <v>150</v>
      </c>
      <c r="B8" s="39" t="s">
        <v>0</v>
      </c>
      <c r="C8" s="68">
        <v>399</v>
      </c>
      <c r="D8" s="39"/>
      <c r="E8" s="39"/>
      <c r="F8" s="39">
        <v>387</v>
      </c>
      <c r="G8" s="39">
        <v>389</v>
      </c>
      <c r="H8" s="39">
        <v>391</v>
      </c>
      <c r="I8" s="39">
        <v>383</v>
      </c>
      <c r="J8" s="39">
        <v>376</v>
      </c>
      <c r="K8" s="39"/>
      <c r="L8" s="57"/>
      <c r="M8" s="49">
        <f t="shared" si="0"/>
        <v>2325</v>
      </c>
      <c r="N8" s="39">
        <v>1</v>
      </c>
      <c r="O8" s="39">
        <v>7</v>
      </c>
      <c r="P8" s="39">
        <v>-188</v>
      </c>
      <c r="Q8" s="39">
        <v>0</v>
      </c>
    </row>
    <row r="9" spans="1:17" s="38" customFormat="1" ht="15.75">
      <c r="A9" s="19" t="s">
        <v>151</v>
      </c>
      <c r="B9" s="17" t="s">
        <v>1</v>
      </c>
      <c r="C9" s="17">
        <v>395</v>
      </c>
      <c r="D9" s="17">
        <v>397</v>
      </c>
      <c r="E9" s="17"/>
      <c r="F9" s="17">
        <v>407</v>
      </c>
      <c r="G9" s="67">
        <v>441</v>
      </c>
      <c r="H9" s="17"/>
      <c r="I9" s="17"/>
      <c r="J9" s="17"/>
      <c r="K9" s="67">
        <v>421</v>
      </c>
      <c r="L9" s="27">
        <v>346</v>
      </c>
      <c r="M9" s="28">
        <f t="shared" si="0"/>
        <v>2407</v>
      </c>
      <c r="N9" s="17">
        <v>2</v>
      </c>
      <c r="O9" s="17">
        <v>6</v>
      </c>
      <c r="P9" s="17">
        <v>-106</v>
      </c>
      <c r="Q9" s="17">
        <v>0</v>
      </c>
    </row>
    <row r="10" spans="1:17" s="41" customFormat="1" ht="15.75">
      <c r="A10" s="20" t="s">
        <v>152</v>
      </c>
      <c r="B10" s="39" t="s">
        <v>21</v>
      </c>
      <c r="C10" s="39">
        <v>397</v>
      </c>
      <c r="D10" s="39">
        <v>371</v>
      </c>
      <c r="E10" s="39"/>
      <c r="F10" s="39"/>
      <c r="G10" s="68">
        <v>417</v>
      </c>
      <c r="H10" s="39"/>
      <c r="I10" s="68">
        <v>414</v>
      </c>
      <c r="J10" s="39">
        <v>406</v>
      </c>
      <c r="K10" s="39">
        <v>371</v>
      </c>
      <c r="L10" s="57"/>
      <c r="M10" s="49">
        <f t="shared" si="0"/>
        <v>2376</v>
      </c>
      <c r="N10" s="39">
        <v>2</v>
      </c>
      <c r="O10" s="39">
        <v>6</v>
      </c>
      <c r="P10" s="39">
        <v>-190</v>
      </c>
      <c r="Q10" s="39">
        <v>0</v>
      </c>
    </row>
    <row r="11" spans="1:17" s="38" customFormat="1" ht="15.75">
      <c r="A11" s="19" t="s">
        <v>153</v>
      </c>
      <c r="B11" s="17" t="s">
        <v>6</v>
      </c>
      <c r="C11" s="67">
        <v>444</v>
      </c>
      <c r="D11" s="17"/>
      <c r="E11" s="17"/>
      <c r="F11" s="67">
        <v>463</v>
      </c>
      <c r="G11" s="17">
        <v>405</v>
      </c>
      <c r="H11" s="17">
        <v>402</v>
      </c>
      <c r="I11" s="17">
        <v>359</v>
      </c>
      <c r="J11" s="17">
        <v>411</v>
      </c>
      <c r="K11" s="17"/>
      <c r="L11" s="27"/>
      <c r="M11" s="28">
        <f t="shared" si="0"/>
        <v>2484</v>
      </c>
      <c r="N11" s="17">
        <v>4</v>
      </c>
      <c r="O11" s="17">
        <v>4</v>
      </c>
      <c r="P11" s="17">
        <v>112</v>
      </c>
      <c r="Q11" s="17">
        <v>1</v>
      </c>
    </row>
    <row r="12" spans="1:17" s="41" customFormat="1" ht="15.75">
      <c r="A12" s="20" t="s">
        <v>154</v>
      </c>
      <c r="B12" s="39" t="s">
        <v>19</v>
      </c>
      <c r="C12" s="39">
        <v>405</v>
      </c>
      <c r="D12" s="39"/>
      <c r="E12" s="39">
        <v>350</v>
      </c>
      <c r="F12" s="39">
        <v>378</v>
      </c>
      <c r="G12" s="39">
        <v>370</v>
      </c>
      <c r="H12" s="68">
        <v>445</v>
      </c>
      <c r="I12" s="39"/>
      <c r="J12" s="39"/>
      <c r="K12" s="39">
        <v>381</v>
      </c>
      <c r="L12" s="57"/>
      <c r="M12" s="49">
        <f t="shared" si="0"/>
        <v>2329</v>
      </c>
      <c r="N12" s="39">
        <v>1</v>
      </c>
      <c r="O12" s="39">
        <v>7</v>
      </c>
      <c r="P12" s="39">
        <v>-250</v>
      </c>
      <c r="Q12" s="39">
        <v>0</v>
      </c>
    </row>
    <row r="13" spans="1:17" s="38" customFormat="1" ht="15.75">
      <c r="A13" s="19" t="s">
        <v>155</v>
      </c>
      <c r="B13" s="17" t="s">
        <v>4</v>
      </c>
      <c r="C13" s="17">
        <v>347</v>
      </c>
      <c r="D13" s="17"/>
      <c r="E13" s="17">
        <v>366</v>
      </c>
      <c r="F13" s="67">
        <v>387</v>
      </c>
      <c r="G13" s="67">
        <v>423</v>
      </c>
      <c r="H13" s="67">
        <v>392</v>
      </c>
      <c r="I13" s="17"/>
      <c r="J13" s="17">
        <v>356</v>
      </c>
      <c r="K13" s="17"/>
      <c r="L13" s="27"/>
      <c r="M13" s="28">
        <f t="shared" si="0"/>
        <v>2271</v>
      </c>
      <c r="N13" s="17">
        <v>3</v>
      </c>
      <c r="O13" s="17">
        <v>5</v>
      </c>
      <c r="P13" s="17">
        <v>-39</v>
      </c>
      <c r="Q13" s="17">
        <v>0</v>
      </c>
    </row>
    <row r="14" spans="1:17" s="41" customFormat="1" ht="15.75">
      <c r="A14" s="20" t="s">
        <v>156</v>
      </c>
      <c r="B14" s="39" t="s">
        <v>3</v>
      </c>
      <c r="C14" s="39"/>
      <c r="D14" s="39"/>
      <c r="E14" s="39"/>
      <c r="F14" s="68">
        <v>419</v>
      </c>
      <c r="G14" s="39">
        <v>418</v>
      </c>
      <c r="H14" s="39">
        <v>342</v>
      </c>
      <c r="I14" s="39">
        <v>373</v>
      </c>
      <c r="J14" s="39"/>
      <c r="K14" s="39">
        <v>378</v>
      </c>
      <c r="L14" s="57">
        <v>297</v>
      </c>
      <c r="M14" s="49">
        <f t="shared" si="0"/>
        <v>2227</v>
      </c>
      <c r="N14" s="39">
        <v>1</v>
      </c>
      <c r="O14" s="39">
        <v>7</v>
      </c>
      <c r="P14" s="39">
        <v>-333</v>
      </c>
      <c r="Q14" s="39">
        <v>0</v>
      </c>
    </row>
    <row r="15" spans="1:17" s="38" customFormat="1" ht="15.75">
      <c r="A15" s="19" t="s">
        <v>157</v>
      </c>
      <c r="B15" s="17" t="s">
        <v>16</v>
      </c>
      <c r="C15" s="67">
        <v>450</v>
      </c>
      <c r="D15" s="17">
        <v>340</v>
      </c>
      <c r="E15" s="17"/>
      <c r="F15" s="17">
        <v>375</v>
      </c>
      <c r="G15" s="17">
        <v>404</v>
      </c>
      <c r="H15" s="17"/>
      <c r="I15" s="17">
        <v>401</v>
      </c>
      <c r="J15" s="17"/>
      <c r="K15" s="67">
        <v>418</v>
      </c>
      <c r="L15" s="27"/>
      <c r="M15" s="28">
        <f t="shared" si="0"/>
        <v>2388</v>
      </c>
      <c r="N15" s="17">
        <v>2</v>
      </c>
      <c r="O15" s="17">
        <v>6</v>
      </c>
      <c r="P15" s="17">
        <v>-168</v>
      </c>
      <c r="Q15" s="17">
        <v>0</v>
      </c>
    </row>
    <row r="16" spans="1:17" s="41" customFormat="1" ht="15.75">
      <c r="A16" s="20" t="s">
        <v>158</v>
      </c>
      <c r="B16" s="39" t="s">
        <v>14</v>
      </c>
      <c r="C16" s="39">
        <v>385</v>
      </c>
      <c r="D16" s="39"/>
      <c r="E16" s="39">
        <v>333</v>
      </c>
      <c r="F16" s="39">
        <v>396</v>
      </c>
      <c r="G16" s="39">
        <v>395</v>
      </c>
      <c r="H16" s="39"/>
      <c r="I16" s="39">
        <v>380</v>
      </c>
      <c r="J16" s="39">
        <v>314</v>
      </c>
      <c r="K16" s="39"/>
      <c r="L16" s="57"/>
      <c r="M16" s="49">
        <f t="shared" si="0"/>
        <v>2203</v>
      </c>
      <c r="N16" s="39">
        <v>0</v>
      </c>
      <c r="O16" s="39">
        <v>8</v>
      </c>
      <c r="P16" s="39">
        <v>-425</v>
      </c>
      <c r="Q16" s="39">
        <v>0</v>
      </c>
    </row>
    <row r="17" spans="1:17" s="38" customFormat="1" ht="16.5" thickBot="1">
      <c r="A17" s="19" t="s">
        <v>159</v>
      </c>
      <c r="B17" s="17" t="s">
        <v>13</v>
      </c>
      <c r="C17" s="97">
        <v>440</v>
      </c>
      <c r="D17" s="42"/>
      <c r="E17" s="42"/>
      <c r="F17" s="42">
        <v>404</v>
      </c>
      <c r="G17" s="42">
        <v>404</v>
      </c>
      <c r="H17" s="42">
        <v>392</v>
      </c>
      <c r="I17" s="42">
        <v>379</v>
      </c>
      <c r="J17" s="42"/>
      <c r="K17" s="42">
        <v>389</v>
      </c>
      <c r="L17" s="51"/>
      <c r="M17" s="47">
        <f t="shared" si="0"/>
        <v>2408</v>
      </c>
      <c r="N17" s="42">
        <v>1</v>
      </c>
      <c r="O17" s="42">
        <v>7</v>
      </c>
      <c r="P17" s="42">
        <v>-197</v>
      </c>
      <c r="Q17" s="42">
        <v>0</v>
      </c>
    </row>
    <row r="18" spans="3:18" ht="16.5" thickTop="1">
      <c r="C18" s="7">
        <f>SUM(C3:C17)</f>
        <v>5282</v>
      </c>
      <c r="D18" s="7">
        <f aca="true" t="shared" si="1" ref="D18:L18">SUM(D3:D17)</f>
        <v>1833</v>
      </c>
      <c r="E18" s="7">
        <f t="shared" si="1"/>
        <v>2545</v>
      </c>
      <c r="F18" s="7">
        <f t="shared" si="1"/>
        <v>4370</v>
      </c>
      <c r="G18" s="7">
        <f t="shared" si="1"/>
        <v>5223</v>
      </c>
      <c r="H18" s="7">
        <f t="shared" si="1"/>
        <v>3619</v>
      </c>
      <c r="I18" s="7">
        <f t="shared" si="1"/>
        <v>3076</v>
      </c>
      <c r="J18" s="7">
        <f t="shared" si="1"/>
        <v>2242</v>
      </c>
      <c r="K18" s="7">
        <f>SUM(K3:K17)</f>
        <v>3502</v>
      </c>
      <c r="L18" s="7">
        <f t="shared" si="1"/>
        <v>989</v>
      </c>
      <c r="R18"/>
    </row>
    <row r="19" spans="2:18" ht="35.25" customHeight="1">
      <c r="B19" s="93" t="s">
        <v>206</v>
      </c>
      <c r="C19" s="94">
        <f>C18/13</f>
        <v>406.3076923076923</v>
      </c>
      <c r="D19" s="94">
        <f>D18/5</f>
        <v>366.6</v>
      </c>
      <c r="E19" s="94">
        <f>E18/7</f>
        <v>363.57142857142856</v>
      </c>
      <c r="F19" s="94">
        <f>F18/11</f>
        <v>397.27272727272725</v>
      </c>
      <c r="G19" s="94">
        <f>G18/13</f>
        <v>401.7692307692308</v>
      </c>
      <c r="H19" s="94">
        <f>H18/9</f>
        <v>402.1111111111111</v>
      </c>
      <c r="I19" s="94">
        <f>I18/8</f>
        <v>384.5</v>
      </c>
      <c r="J19" s="94">
        <f>J18/6</f>
        <v>373.6666666666667</v>
      </c>
      <c r="K19" s="94">
        <f>K18/9</f>
        <v>389.1111111111111</v>
      </c>
      <c r="L19" s="94">
        <f>L18/3</f>
        <v>329.6666666666667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  <c r="R19"/>
    </row>
    <row r="20" spans="13:17" ht="15.75">
      <c r="M20" s="7">
        <f>SUM(M3:M17)</f>
        <v>32681</v>
      </c>
      <c r="N20" s="1">
        <f>SUM(N3:N17)+20</f>
        <v>44</v>
      </c>
      <c r="O20" s="1">
        <f>SUM(O3:O17)+92</f>
        <v>180</v>
      </c>
      <c r="P20" s="1">
        <f>SUM(P3:P17)</f>
        <v>-2378</v>
      </c>
      <c r="Q20" s="1">
        <f>SUM(Q3:Q17)</f>
        <v>1</v>
      </c>
    </row>
    <row r="21" spans="3:4" ht="15.75">
      <c r="C21" s="103" t="s">
        <v>39</v>
      </c>
      <c r="D21" s="103"/>
    </row>
    <row r="22" spans="3:16" ht="15.75">
      <c r="C22" s="104" t="s">
        <v>160</v>
      </c>
      <c r="D22" s="104"/>
      <c r="O22" s="106" t="s">
        <v>170</v>
      </c>
      <c r="P22" s="106"/>
    </row>
    <row r="23" spans="3:16" ht="15.75">
      <c r="C23" s="105" t="s">
        <v>161</v>
      </c>
      <c r="D23" s="105"/>
      <c r="O23" s="107">
        <f>N20-O20</f>
        <v>-136</v>
      </c>
      <c r="P23" s="107"/>
    </row>
    <row r="25" spans="3:21" ht="15.75">
      <c r="C25" s="29" t="s">
        <v>162</v>
      </c>
      <c r="S25" s="2"/>
      <c r="T25" s="2"/>
      <c r="U25" s="2"/>
    </row>
    <row r="26" spans="2:21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L26" s="13"/>
      <c r="S26" s="2"/>
      <c r="T26" s="2"/>
      <c r="U26" s="2"/>
    </row>
    <row r="27" spans="2:21" ht="15.75">
      <c r="B27" s="1" t="s">
        <v>191</v>
      </c>
      <c r="E27" s="1">
        <v>14</v>
      </c>
      <c r="F27" s="1">
        <v>20</v>
      </c>
      <c r="G27" s="1">
        <v>92</v>
      </c>
      <c r="H27" s="109">
        <v>2294</v>
      </c>
      <c r="I27" s="109"/>
      <c r="J27" s="109">
        <v>0</v>
      </c>
      <c r="K27" s="109"/>
      <c r="M27" s="101" t="s">
        <v>182</v>
      </c>
      <c r="N27" s="101"/>
      <c r="O27" s="7">
        <f>AVERAGE(M3,M4,M5,M8,M7,M9,M10,M11,M12,M13,M14,M15,M16,M17)</f>
        <v>2334.3571428571427</v>
      </c>
      <c r="S27" s="2"/>
      <c r="T27" s="2"/>
      <c r="U27" s="2"/>
    </row>
    <row r="28" spans="3:21" ht="15.75">
      <c r="C28" s="29" t="s">
        <v>167</v>
      </c>
      <c r="S28" s="2"/>
      <c r="T28" s="2"/>
      <c r="U28" s="2"/>
    </row>
    <row r="29" spans="3:21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L29" s="13"/>
      <c r="S29" s="2"/>
      <c r="T29" s="2"/>
      <c r="U29" s="2"/>
    </row>
    <row r="30" spans="4:21" ht="15.75">
      <c r="D30" s="1">
        <v>1</v>
      </c>
      <c r="E30" s="1">
        <v>6</v>
      </c>
      <c r="F30" s="1">
        <f>N4+N7+N9+N11+N13+N15+N17</f>
        <v>16</v>
      </c>
      <c r="G30" s="1">
        <f>O4+O7+O9+O11+O13+O15+O17</f>
        <v>40</v>
      </c>
      <c r="H30" s="108">
        <f>M4+M7+M9+M11+M13+M15+M17</f>
        <v>16538</v>
      </c>
      <c r="I30" s="109"/>
      <c r="J30" s="109">
        <f>Q4+Q7+Q9+Q11+Q13+Q15+Q17</f>
        <v>1</v>
      </c>
      <c r="K30" s="109"/>
      <c r="S30" s="2"/>
      <c r="T30" s="2"/>
      <c r="U30" s="2"/>
    </row>
    <row r="31" spans="3:21" ht="15.75">
      <c r="C31" s="29" t="s">
        <v>169</v>
      </c>
      <c r="S31" s="2"/>
      <c r="T31" s="2"/>
      <c r="U31" s="2"/>
    </row>
    <row r="32" spans="3:21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L32" s="13"/>
      <c r="S32" s="2"/>
      <c r="T32" s="2"/>
      <c r="U32" s="2"/>
    </row>
    <row r="33" spans="5:21" ht="15.75">
      <c r="E33" s="1">
        <v>7</v>
      </c>
      <c r="F33" s="7">
        <f>N3+N5+N8+N10+N12+N14+N16</f>
        <v>8</v>
      </c>
      <c r="G33" s="7">
        <f>O3+O5+O8+O10+O12+O14+O16</f>
        <v>48</v>
      </c>
      <c r="H33" s="108">
        <f>M3+M5+M8+M10+M12+M14+M16</f>
        <v>16143</v>
      </c>
      <c r="I33" s="109"/>
      <c r="J33" s="108">
        <f>Q3+Q5+Q8+Q10+Q12+Q14+Q16</f>
        <v>0</v>
      </c>
      <c r="K33" s="108"/>
      <c r="S33" s="2"/>
      <c r="T33" s="2"/>
      <c r="U33" s="2"/>
    </row>
  </sheetData>
  <mergeCells count="24">
    <mergeCell ref="M27:N27"/>
    <mergeCell ref="J32:K32"/>
    <mergeCell ref="J27:K27"/>
    <mergeCell ref="J26:K26"/>
    <mergeCell ref="J29:K29"/>
    <mergeCell ref="H33:I33"/>
    <mergeCell ref="J33:K33"/>
    <mergeCell ref="H30:I30"/>
    <mergeCell ref="J30:K30"/>
    <mergeCell ref="F26:G26"/>
    <mergeCell ref="H26:I26"/>
    <mergeCell ref="F32:G32"/>
    <mergeCell ref="H32:I32"/>
    <mergeCell ref="H27:I27"/>
    <mergeCell ref="F29:G29"/>
    <mergeCell ref="H29:I29"/>
    <mergeCell ref="O23:P23"/>
    <mergeCell ref="C1:M1"/>
    <mergeCell ref="O1:P1"/>
    <mergeCell ref="C22:D22"/>
    <mergeCell ref="N19:O19"/>
    <mergeCell ref="C21:D21"/>
    <mergeCell ref="O22:P22"/>
    <mergeCell ref="C23:D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27" sqref="P27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8" width="9.125" style="1" customWidth="1"/>
    <col min="9" max="9" width="11.875" style="1" customWidth="1"/>
    <col min="10" max="10" width="9.125" style="1" customWidth="1"/>
    <col min="11" max="11" width="14.625" style="1" customWidth="1"/>
    <col min="12" max="12" width="9.125" style="1" customWidth="1"/>
    <col min="13" max="13" width="15.875" style="1" bestFit="1" customWidth="1"/>
    <col min="14" max="14" width="15.875" style="1" customWidth="1"/>
    <col min="15" max="15" width="11.25390625" style="1" customWidth="1"/>
    <col min="16" max="16" width="13.625" style="1" bestFit="1" customWidth="1"/>
    <col min="17" max="17" width="13.375" style="1" customWidth="1"/>
    <col min="18" max="18" width="11.875" style="1" customWidth="1"/>
  </cols>
  <sheetData>
    <row r="1" spans="3:21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M1" s="3"/>
      <c r="N1" s="101" t="s">
        <v>22</v>
      </c>
      <c r="O1" s="101"/>
      <c r="S1" s="2"/>
      <c r="T1" s="2"/>
      <c r="U1" s="2"/>
    </row>
    <row r="2" spans="2:20" ht="36.75" customHeight="1" thickBot="1">
      <c r="B2" s="3" t="s">
        <v>15</v>
      </c>
      <c r="C2" s="11" t="s">
        <v>140</v>
      </c>
      <c r="D2" s="11" t="s">
        <v>46</v>
      </c>
      <c r="E2" s="11" t="s">
        <v>47</v>
      </c>
      <c r="F2" s="11" t="s">
        <v>48</v>
      </c>
      <c r="G2" s="11" t="s">
        <v>49</v>
      </c>
      <c r="H2" s="11" t="s">
        <v>197</v>
      </c>
      <c r="I2" s="11" t="s">
        <v>138</v>
      </c>
      <c r="J2" s="11" t="s">
        <v>139</v>
      </c>
      <c r="K2" s="11" t="s">
        <v>207</v>
      </c>
      <c r="L2" s="11" t="s">
        <v>144</v>
      </c>
      <c r="M2" s="6" t="s">
        <v>24</v>
      </c>
      <c r="N2" s="3" t="s">
        <v>0</v>
      </c>
      <c r="O2" s="3" t="s">
        <v>23</v>
      </c>
      <c r="P2" s="3" t="s">
        <v>25</v>
      </c>
      <c r="Q2" s="13" t="s">
        <v>134</v>
      </c>
      <c r="R2" s="2"/>
      <c r="S2" s="2"/>
      <c r="T2" s="2"/>
    </row>
    <row r="3" spans="1:17" s="36" customFormat="1" ht="15.75">
      <c r="A3" s="18" t="s">
        <v>145</v>
      </c>
      <c r="B3" s="21" t="s">
        <v>16</v>
      </c>
      <c r="C3" s="21">
        <v>405</v>
      </c>
      <c r="D3" s="70">
        <v>443</v>
      </c>
      <c r="E3" s="70">
        <v>453</v>
      </c>
      <c r="F3" s="18">
        <v>409</v>
      </c>
      <c r="G3" s="18">
        <v>434</v>
      </c>
      <c r="H3" s="18">
        <v>431</v>
      </c>
      <c r="I3" s="18"/>
      <c r="J3" s="18"/>
      <c r="K3" s="18"/>
      <c r="L3" s="18"/>
      <c r="M3" s="35">
        <f aca="true" t="shared" si="0" ref="M3:M17">SUM(B3:L3)</f>
        <v>2575</v>
      </c>
      <c r="N3" s="21">
        <v>2</v>
      </c>
      <c r="O3" s="21">
        <v>6</v>
      </c>
      <c r="P3" s="21">
        <v>-113</v>
      </c>
      <c r="Q3" s="21">
        <v>0</v>
      </c>
    </row>
    <row r="4" spans="1:17" s="38" customFormat="1" ht="15.75">
      <c r="A4" s="19" t="s">
        <v>146</v>
      </c>
      <c r="B4" s="17" t="s">
        <v>14</v>
      </c>
      <c r="C4" s="67">
        <v>470</v>
      </c>
      <c r="D4" s="67">
        <v>448</v>
      </c>
      <c r="E4" s="17"/>
      <c r="F4" s="17"/>
      <c r="G4" s="17"/>
      <c r="H4" s="67">
        <v>433</v>
      </c>
      <c r="I4" s="67">
        <v>428</v>
      </c>
      <c r="J4" s="17">
        <v>405</v>
      </c>
      <c r="K4" s="17"/>
      <c r="L4" s="17">
        <v>427</v>
      </c>
      <c r="M4" s="37">
        <f t="shared" si="0"/>
        <v>2611</v>
      </c>
      <c r="N4" s="17">
        <v>6</v>
      </c>
      <c r="O4" s="17">
        <v>2</v>
      </c>
      <c r="P4" s="17">
        <v>138</v>
      </c>
      <c r="Q4" s="17">
        <v>2</v>
      </c>
    </row>
    <row r="5" spans="1:17" s="36" customFormat="1" ht="15.75">
      <c r="A5" s="21" t="s">
        <v>147</v>
      </c>
      <c r="B5" s="21" t="s">
        <v>13</v>
      </c>
      <c r="C5" s="70">
        <v>438</v>
      </c>
      <c r="D5" s="18">
        <v>429</v>
      </c>
      <c r="E5" s="70">
        <v>431</v>
      </c>
      <c r="F5" s="18">
        <v>411</v>
      </c>
      <c r="G5" s="18">
        <v>426</v>
      </c>
      <c r="H5" s="70">
        <v>431</v>
      </c>
      <c r="I5" s="18"/>
      <c r="J5" s="18"/>
      <c r="K5" s="18"/>
      <c r="L5" s="18"/>
      <c r="M5" s="35">
        <f t="shared" si="0"/>
        <v>2566</v>
      </c>
      <c r="N5" s="21">
        <v>3</v>
      </c>
      <c r="O5" s="21">
        <v>5</v>
      </c>
      <c r="P5" s="21">
        <v>-64</v>
      </c>
      <c r="Q5" s="21">
        <v>0</v>
      </c>
    </row>
    <row r="6" spans="1:17" s="38" customFormat="1" ht="15.75">
      <c r="A6" s="17" t="s">
        <v>148</v>
      </c>
      <c r="B6" s="17" t="s">
        <v>12</v>
      </c>
      <c r="C6" s="17">
        <v>392</v>
      </c>
      <c r="D6" s="67">
        <v>421</v>
      </c>
      <c r="E6" s="67">
        <v>427</v>
      </c>
      <c r="F6" s="67">
        <v>426</v>
      </c>
      <c r="G6" s="67">
        <v>437</v>
      </c>
      <c r="H6" s="19">
        <v>183</v>
      </c>
      <c r="I6" s="19"/>
      <c r="J6" s="19">
        <v>221</v>
      </c>
      <c r="K6" s="19"/>
      <c r="L6" s="19"/>
      <c r="M6" s="37">
        <f t="shared" si="0"/>
        <v>2507</v>
      </c>
      <c r="N6" s="17">
        <v>6</v>
      </c>
      <c r="O6" s="17">
        <v>2</v>
      </c>
      <c r="P6" s="17">
        <v>28</v>
      </c>
      <c r="Q6" s="17">
        <v>2</v>
      </c>
    </row>
    <row r="7" spans="1:17" s="36" customFormat="1" ht="15.75">
      <c r="A7" s="21" t="s">
        <v>149</v>
      </c>
      <c r="B7" s="21" t="s">
        <v>11</v>
      </c>
      <c r="C7" s="70">
        <v>433</v>
      </c>
      <c r="D7" s="70">
        <v>433</v>
      </c>
      <c r="E7" s="18">
        <v>431</v>
      </c>
      <c r="F7" s="18">
        <v>417</v>
      </c>
      <c r="G7" s="70">
        <v>444</v>
      </c>
      <c r="H7" s="70">
        <v>443</v>
      </c>
      <c r="I7" s="18"/>
      <c r="J7" s="18"/>
      <c r="K7" s="18"/>
      <c r="L7" s="18"/>
      <c r="M7" s="35">
        <f t="shared" si="0"/>
        <v>2601</v>
      </c>
      <c r="N7" s="21">
        <v>6</v>
      </c>
      <c r="O7" s="21">
        <v>2</v>
      </c>
      <c r="P7" s="21">
        <v>39</v>
      </c>
      <c r="Q7" s="21">
        <v>2</v>
      </c>
    </row>
    <row r="8" spans="1:17" s="38" customFormat="1" ht="15.75">
      <c r="A8" s="17" t="s">
        <v>150</v>
      </c>
      <c r="B8" s="17" t="s">
        <v>10</v>
      </c>
      <c r="C8" s="17"/>
      <c r="D8" s="67">
        <v>408</v>
      </c>
      <c r="E8" s="19"/>
      <c r="F8" s="67">
        <v>453</v>
      </c>
      <c r="G8" s="67">
        <v>440</v>
      </c>
      <c r="H8" s="19"/>
      <c r="I8" s="67">
        <v>392</v>
      </c>
      <c r="J8" s="19">
        <v>390</v>
      </c>
      <c r="K8" s="19"/>
      <c r="L8" s="67">
        <v>430</v>
      </c>
      <c r="M8" s="37">
        <f t="shared" si="0"/>
        <v>2513</v>
      </c>
      <c r="N8" s="17">
        <v>7</v>
      </c>
      <c r="O8" s="17">
        <v>1</v>
      </c>
      <c r="P8" s="17">
        <v>188</v>
      </c>
      <c r="Q8" s="17">
        <v>2</v>
      </c>
    </row>
    <row r="9" spans="1:18" ht="15.75">
      <c r="A9" s="17" t="s">
        <v>151</v>
      </c>
      <c r="B9" s="1" t="s">
        <v>9</v>
      </c>
      <c r="C9" s="30"/>
      <c r="D9" s="30"/>
      <c r="E9" s="30"/>
      <c r="F9" s="30"/>
      <c r="G9" s="30"/>
      <c r="H9" s="30"/>
      <c r="I9" s="30"/>
      <c r="J9" s="30"/>
      <c r="K9" s="30"/>
      <c r="L9" s="31"/>
      <c r="M9" s="10">
        <f t="shared" si="0"/>
        <v>0</v>
      </c>
      <c r="R9"/>
    </row>
    <row r="10" spans="1:17" s="38" customFormat="1" ht="15.75">
      <c r="A10" s="17" t="s">
        <v>152</v>
      </c>
      <c r="B10" s="17" t="s">
        <v>8</v>
      </c>
      <c r="C10" s="17">
        <v>385</v>
      </c>
      <c r="D10" s="67">
        <v>432</v>
      </c>
      <c r="E10" s="19"/>
      <c r="F10" s="19"/>
      <c r="G10" s="67">
        <v>475</v>
      </c>
      <c r="H10" s="19">
        <v>416</v>
      </c>
      <c r="I10" s="19"/>
      <c r="J10" s="19">
        <v>411</v>
      </c>
      <c r="K10" s="19"/>
      <c r="L10" s="67">
        <v>439</v>
      </c>
      <c r="M10" s="37">
        <f t="shared" si="0"/>
        <v>2558</v>
      </c>
      <c r="N10" s="17">
        <v>5</v>
      </c>
      <c r="O10" s="17">
        <v>3</v>
      </c>
      <c r="P10" s="17">
        <v>77</v>
      </c>
      <c r="Q10" s="17">
        <v>2</v>
      </c>
    </row>
    <row r="11" spans="1:17" s="38" customFormat="1" ht="15.75">
      <c r="A11" s="17" t="s">
        <v>153</v>
      </c>
      <c r="B11" s="17" t="s">
        <v>2</v>
      </c>
      <c r="C11" s="17"/>
      <c r="D11" s="67">
        <v>454</v>
      </c>
      <c r="E11" s="67">
        <v>454</v>
      </c>
      <c r="F11" s="19">
        <v>416</v>
      </c>
      <c r="G11" s="67">
        <v>456</v>
      </c>
      <c r="H11" s="19">
        <v>426</v>
      </c>
      <c r="I11" s="67">
        <v>432</v>
      </c>
      <c r="J11" s="19"/>
      <c r="K11" s="19"/>
      <c r="L11" s="19"/>
      <c r="M11" s="37">
        <f t="shared" si="0"/>
        <v>2638</v>
      </c>
      <c r="N11" s="17">
        <v>6</v>
      </c>
      <c r="O11" s="17">
        <v>2</v>
      </c>
      <c r="P11" s="17">
        <v>110</v>
      </c>
      <c r="Q11" s="17">
        <v>2</v>
      </c>
    </row>
    <row r="12" spans="1:17" s="36" customFormat="1" ht="15.75">
      <c r="A12" s="21" t="s">
        <v>154</v>
      </c>
      <c r="B12" s="21" t="s">
        <v>1</v>
      </c>
      <c r="C12" s="21"/>
      <c r="D12" s="18">
        <v>422</v>
      </c>
      <c r="E12" s="70">
        <v>437</v>
      </c>
      <c r="F12" s="18">
        <v>418</v>
      </c>
      <c r="G12" s="18"/>
      <c r="H12" s="18">
        <v>427</v>
      </c>
      <c r="I12" s="18">
        <v>390</v>
      </c>
      <c r="J12" s="18"/>
      <c r="K12" s="18"/>
      <c r="L12" s="70">
        <v>436</v>
      </c>
      <c r="M12" s="35">
        <f t="shared" si="0"/>
        <v>2530</v>
      </c>
      <c r="N12" s="21">
        <v>2</v>
      </c>
      <c r="O12" s="21">
        <v>6</v>
      </c>
      <c r="P12" s="21">
        <v>-89</v>
      </c>
      <c r="Q12" s="21">
        <v>0</v>
      </c>
    </row>
    <row r="13" spans="1:17" s="38" customFormat="1" ht="15.75">
      <c r="A13" s="17" t="s">
        <v>155</v>
      </c>
      <c r="B13" s="17" t="s">
        <v>7</v>
      </c>
      <c r="C13" s="17"/>
      <c r="D13" s="19">
        <v>188</v>
      </c>
      <c r="E13" s="67">
        <v>447</v>
      </c>
      <c r="F13" s="19">
        <v>214</v>
      </c>
      <c r="G13" s="67">
        <v>445</v>
      </c>
      <c r="H13" s="67">
        <v>443</v>
      </c>
      <c r="I13" s="19">
        <v>206</v>
      </c>
      <c r="J13" s="19">
        <v>391</v>
      </c>
      <c r="K13" s="19"/>
      <c r="L13" s="19">
        <v>206</v>
      </c>
      <c r="M13" s="37">
        <f t="shared" si="0"/>
        <v>2540</v>
      </c>
      <c r="N13" s="17">
        <v>5</v>
      </c>
      <c r="O13" s="17">
        <v>3</v>
      </c>
      <c r="P13" s="17">
        <v>6</v>
      </c>
      <c r="Q13" s="17">
        <v>2</v>
      </c>
    </row>
    <row r="14" spans="1:17" s="36" customFormat="1" ht="15.75">
      <c r="A14" s="21" t="s">
        <v>156</v>
      </c>
      <c r="B14" s="21" t="s">
        <v>6</v>
      </c>
      <c r="C14" s="21"/>
      <c r="D14" s="70">
        <v>457</v>
      </c>
      <c r="E14" s="70">
        <v>415</v>
      </c>
      <c r="F14" s="70">
        <v>408</v>
      </c>
      <c r="G14" s="70">
        <v>416</v>
      </c>
      <c r="H14" s="18"/>
      <c r="I14" s="18"/>
      <c r="J14" s="18">
        <v>385</v>
      </c>
      <c r="K14" s="18"/>
      <c r="L14" s="70">
        <v>404</v>
      </c>
      <c r="M14" s="35">
        <f t="shared" si="0"/>
        <v>2485</v>
      </c>
      <c r="N14" s="21">
        <v>7</v>
      </c>
      <c r="O14" s="21">
        <v>1</v>
      </c>
      <c r="P14" s="23">
        <f>M14-2350</f>
        <v>135</v>
      </c>
      <c r="Q14" s="21">
        <v>2</v>
      </c>
    </row>
    <row r="15" spans="1:17" s="38" customFormat="1" ht="15.75">
      <c r="A15" s="17" t="s">
        <v>157</v>
      </c>
      <c r="B15" s="17" t="s">
        <v>5</v>
      </c>
      <c r="C15" s="17"/>
      <c r="D15" s="67">
        <v>437</v>
      </c>
      <c r="E15" s="19"/>
      <c r="F15" s="67">
        <v>424</v>
      </c>
      <c r="G15" s="19">
        <v>415</v>
      </c>
      <c r="H15" s="67">
        <v>443</v>
      </c>
      <c r="I15" s="19">
        <v>406</v>
      </c>
      <c r="J15" s="19"/>
      <c r="K15" s="19"/>
      <c r="L15" s="67">
        <v>423</v>
      </c>
      <c r="M15" s="37">
        <f t="shared" si="0"/>
        <v>2548</v>
      </c>
      <c r="N15" s="17">
        <v>6</v>
      </c>
      <c r="O15" s="17">
        <v>2</v>
      </c>
      <c r="P15" s="28">
        <f>M15-2390</f>
        <v>158</v>
      </c>
      <c r="Q15" s="17">
        <v>2</v>
      </c>
    </row>
    <row r="16" spans="1:17" s="41" customFormat="1" ht="15.75">
      <c r="A16" s="21" t="s">
        <v>158</v>
      </c>
      <c r="B16" s="21" t="s">
        <v>4</v>
      </c>
      <c r="C16" s="39"/>
      <c r="D16" s="68">
        <v>431</v>
      </c>
      <c r="E16" s="68">
        <v>408</v>
      </c>
      <c r="F16" s="68">
        <v>412</v>
      </c>
      <c r="G16" s="20"/>
      <c r="H16" s="20"/>
      <c r="I16" s="20"/>
      <c r="J16" s="68">
        <v>427</v>
      </c>
      <c r="K16" s="20">
        <v>378</v>
      </c>
      <c r="L16" s="68">
        <v>438</v>
      </c>
      <c r="M16" s="40">
        <f t="shared" si="0"/>
        <v>2494</v>
      </c>
      <c r="N16" s="39">
        <v>7</v>
      </c>
      <c r="O16" s="39">
        <v>1</v>
      </c>
      <c r="P16" s="49">
        <f>M16-2242</f>
        <v>252</v>
      </c>
      <c r="Q16" s="39">
        <v>2</v>
      </c>
    </row>
    <row r="17" spans="1:17" s="38" customFormat="1" ht="16.5" thickBot="1">
      <c r="A17" s="19" t="s">
        <v>159</v>
      </c>
      <c r="B17" s="17" t="s">
        <v>3</v>
      </c>
      <c r="C17" s="42">
        <v>190</v>
      </c>
      <c r="D17" s="43">
        <v>401</v>
      </c>
      <c r="E17" s="43">
        <v>407</v>
      </c>
      <c r="F17" s="43"/>
      <c r="G17" s="97">
        <v>434</v>
      </c>
      <c r="H17" s="97">
        <v>444</v>
      </c>
      <c r="I17" s="43"/>
      <c r="J17" s="43">
        <v>181</v>
      </c>
      <c r="K17" s="43"/>
      <c r="L17" s="97">
        <v>450</v>
      </c>
      <c r="M17" s="44">
        <f t="shared" si="0"/>
        <v>2507</v>
      </c>
      <c r="N17" s="42">
        <v>3</v>
      </c>
      <c r="O17" s="42">
        <v>5</v>
      </c>
      <c r="P17" s="42">
        <v>-100</v>
      </c>
      <c r="Q17" s="42">
        <v>0</v>
      </c>
    </row>
    <row r="18" spans="3:18" ht="16.5" thickTop="1">
      <c r="C18" s="7">
        <f>SUM(C3:C17)</f>
        <v>2713</v>
      </c>
      <c r="D18" s="7">
        <f aca="true" t="shared" si="1" ref="D18:L18">SUM(D3:D17)</f>
        <v>5804</v>
      </c>
      <c r="E18" s="7">
        <f t="shared" si="1"/>
        <v>4310</v>
      </c>
      <c r="F18" s="7">
        <f t="shared" si="1"/>
        <v>4408</v>
      </c>
      <c r="G18" s="7">
        <f t="shared" si="1"/>
        <v>4822</v>
      </c>
      <c r="H18" s="7">
        <f t="shared" si="1"/>
        <v>4520</v>
      </c>
      <c r="I18" s="7">
        <f t="shared" si="1"/>
        <v>2254</v>
      </c>
      <c r="J18" s="7">
        <f t="shared" si="1"/>
        <v>2811</v>
      </c>
      <c r="K18" s="7">
        <f>SUM(K3:K17)</f>
        <v>378</v>
      </c>
      <c r="L18" s="7">
        <f t="shared" si="1"/>
        <v>3653</v>
      </c>
      <c r="R18"/>
    </row>
    <row r="19" spans="2:20" ht="33.75" customHeight="1">
      <c r="B19" s="93" t="s">
        <v>206</v>
      </c>
      <c r="C19" s="94">
        <f>C18/6.5</f>
        <v>417.38461538461536</v>
      </c>
      <c r="D19" s="94">
        <f>D18/13.5</f>
        <v>429.9259259259259</v>
      </c>
      <c r="E19" s="94">
        <f>E18/10</f>
        <v>431</v>
      </c>
      <c r="F19" s="94">
        <f>F18/10.5</f>
        <v>419.8095238095238</v>
      </c>
      <c r="G19" s="94">
        <f>G18/11</f>
        <v>438.3636363636364</v>
      </c>
      <c r="H19" s="94">
        <f>H18/10.5</f>
        <v>430.4761904761905</v>
      </c>
      <c r="I19" s="94">
        <f>I18/5.5</f>
        <v>409.8181818181818</v>
      </c>
      <c r="J19" s="94">
        <f>J18/7</f>
        <v>401.57142857142856</v>
      </c>
      <c r="K19" s="94">
        <f>K18/1</f>
        <v>378</v>
      </c>
      <c r="L19" s="94">
        <f>L18/8.5</f>
        <v>429.7647058823529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  <c r="T19" s="65"/>
    </row>
    <row r="20" spans="3:20" ht="15.75">
      <c r="C20" s="103" t="s">
        <v>39</v>
      </c>
      <c r="D20" s="103"/>
      <c r="M20" s="7">
        <f>SUM(M3:M17)</f>
        <v>35673</v>
      </c>
      <c r="N20" s="1">
        <f>SUM(N3:N17)+66</f>
        <v>137</v>
      </c>
      <c r="O20" s="1">
        <f>SUM(O3:O17)+46</f>
        <v>87</v>
      </c>
      <c r="P20" s="1">
        <f>SUM(P3:P17)</f>
        <v>765</v>
      </c>
      <c r="Q20" s="1">
        <f>SUM(Q3:Q17)+19</f>
        <v>39</v>
      </c>
      <c r="T20" s="2"/>
    </row>
    <row r="21" spans="3:4" ht="15.75">
      <c r="C21" s="104" t="s">
        <v>160</v>
      </c>
      <c r="D21" s="104"/>
    </row>
    <row r="22" spans="3:21" ht="15.75">
      <c r="C22" s="105" t="s">
        <v>161</v>
      </c>
      <c r="D22" s="105"/>
      <c r="N22" s="106" t="s">
        <v>170</v>
      </c>
      <c r="O22" s="106"/>
      <c r="S22" s="2"/>
      <c r="T22" s="2"/>
      <c r="U22" s="2"/>
    </row>
    <row r="23" spans="14:21" ht="15.75">
      <c r="N23" s="107">
        <f>N20-O20</f>
        <v>50</v>
      </c>
      <c r="O23" s="107"/>
      <c r="S23" s="2"/>
      <c r="T23" s="2"/>
      <c r="U23" s="2"/>
    </row>
    <row r="24" spans="3:21" ht="15.75">
      <c r="C24" s="29" t="s">
        <v>162</v>
      </c>
      <c r="S24" s="2"/>
      <c r="T24" s="2"/>
      <c r="U24" s="2"/>
    </row>
    <row r="25" spans="2:21" ht="19.5" customHeight="1">
      <c r="B25" s="3" t="s">
        <v>163</v>
      </c>
      <c r="C25" s="3" t="s">
        <v>164</v>
      </c>
      <c r="D25" s="3" t="s">
        <v>165</v>
      </c>
      <c r="E25" s="3" t="s">
        <v>166</v>
      </c>
      <c r="F25" s="101" t="s">
        <v>135</v>
      </c>
      <c r="G25" s="101"/>
      <c r="H25" s="101" t="s">
        <v>182</v>
      </c>
      <c r="I25" s="101"/>
      <c r="J25" s="102" t="s">
        <v>136</v>
      </c>
      <c r="K25" s="102"/>
      <c r="L25" s="13"/>
      <c r="S25" s="2"/>
      <c r="T25" s="2"/>
      <c r="U25" s="2"/>
    </row>
    <row r="26" spans="2:21" ht="15.75">
      <c r="B26" s="1" t="s">
        <v>186</v>
      </c>
      <c r="C26" s="1">
        <v>8</v>
      </c>
      <c r="D26" s="1">
        <v>3</v>
      </c>
      <c r="E26" s="1">
        <v>3</v>
      </c>
      <c r="F26" s="1">
        <v>66</v>
      </c>
      <c r="G26" s="1">
        <v>46</v>
      </c>
      <c r="H26" s="109">
        <v>2576</v>
      </c>
      <c r="I26" s="109"/>
      <c r="J26" s="109">
        <v>19</v>
      </c>
      <c r="K26" s="109"/>
      <c r="S26" s="2"/>
      <c r="T26" s="2"/>
      <c r="U26" s="2"/>
    </row>
    <row r="27" spans="3:21" ht="15.75">
      <c r="C27" s="29" t="s">
        <v>167</v>
      </c>
      <c r="N27" s="101" t="s">
        <v>182</v>
      </c>
      <c r="O27" s="101"/>
      <c r="P27" s="7">
        <f>AVERAGE(M3,M4,M5,M6,M7,M8,M10,M11,M12,M14,M15,M13,M16,M17)</f>
        <v>2548.0714285714284</v>
      </c>
      <c r="S27" s="2"/>
      <c r="T27" s="2"/>
      <c r="U27" s="2"/>
    </row>
    <row r="28" spans="3:21" ht="22.5" customHeight="1">
      <c r="C28" s="3" t="s">
        <v>164</v>
      </c>
      <c r="D28" s="3" t="s">
        <v>165</v>
      </c>
      <c r="E28" s="3" t="s">
        <v>166</v>
      </c>
      <c r="F28" s="101" t="s">
        <v>135</v>
      </c>
      <c r="G28" s="101"/>
      <c r="H28" s="101" t="s">
        <v>24</v>
      </c>
      <c r="I28" s="101"/>
      <c r="J28" s="102" t="s">
        <v>168</v>
      </c>
      <c r="K28" s="102"/>
      <c r="L28" s="13"/>
      <c r="S28" s="2"/>
      <c r="T28" s="2"/>
      <c r="U28" s="2"/>
    </row>
    <row r="29" spans="3:21" ht="15.75">
      <c r="C29" s="1">
        <v>7</v>
      </c>
      <c r="E29" s="1">
        <v>1</v>
      </c>
      <c r="F29" s="7">
        <f>N4+N6+N8+N10+N11+N13+N15+N17</f>
        <v>44</v>
      </c>
      <c r="G29" s="7">
        <f>O4+O6+O8+O10+O11+O13+O15+O17</f>
        <v>20</v>
      </c>
      <c r="H29" s="108">
        <f>M4+M6+M8+M10+M11+M15+M17+M13</f>
        <v>20422</v>
      </c>
      <c r="I29" s="108"/>
      <c r="J29" s="108">
        <f>Q4+Q6+Q8+Q10+Q11+Q15+Q17+Q13</f>
        <v>14</v>
      </c>
      <c r="K29" s="108"/>
      <c r="L29" s="7"/>
      <c r="S29" s="2"/>
      <c r="T29" s="2"/>
      <c r="U29" s="2"/>
    </row>
    <row r="30" spans="3:21" ht="15.75">
      <c r="C30" s="29" t="s">
        <v>169</v>
      </c>
      <c r="S30" s="2"/>
      <c r="T30" s="2"/>
      <c r="U30" s="2"/>
    </row>
    <row r="31" spans="3:21" ht="24" customHeight="1">
      <c r="C31" s="3" t="s">
        <v>164</v>
      </c>
      <c r="D31" s="3" t="s">
        <v>165</v>
      </c>
      <c r="E31" s="3" t="s">
        <v>166</v>
      </c>
      <c r="F31" s="101" t="s">
        <v>135</v>
      </c>
      <c r="G31" s="101"/>
      <c r="H31" s="101" t="s">
        <v>24</v>
      </c>
      <c r="I31" s="101"/>
      <c r="J31" s="102" t="s">
        <v>168</v>
      </c>
      <c r="K31" s="102"/>
      <c r="L31" s="13"/>
      <c r="S31" s="2"/>
      <c r="T31" s="2"/>
      <c r="U31" s="2"/>
    </row>
    <row r="32" spans="3:21" ht="15.75">
      <c r="C32" s="1">
        <v>3</v>
      </c>
      <c r="E32" s="1">
        <v>3</v>
      </c>
      <c r="F32" s="7">
        <f>N3+N5+N7+N12+N14+N16</f>
        <v>27</v>
      </c>
      <c r="G32" s="7">
        <f>O3+O5+O7+O12+O14+O16</f>
        <v>21</v>
      </c>
      <c r="H32" s="108">
        <f>M3+M5+M7+M12+M14+M16</f>
        <v>15251</v>
      </c>
      <c r="I32" s="108"/>
      <c r="J32" s="109">
        <f>Q3+Q5+Q7+Q12+Q14+Q16</f>
        <v>6</v>
      </c>
      <c r="K32" s="109"/>
      <c r="S32" s="2"/>
      <c r="T32" s="2"/>
      <c r="U32" s="2"/>
    </row>
  </sheetData>
  <mergeCells count="24">
    <mergeCell ref="N1:O1"/>
    <mergeCell ref="N19:O19"/>
    <mergeCell ref="N22:O22"/>
    <mergeCell ref="C1:L1"/>
    <mergeCell ref="C20:D20"/>
    <mergeCell ref="C21:D21"/>
    <mergeCell ref="C22:D22"/>
    <mergeCell ref="H32:I32"/>
    <mergeCell ref="H29:I29"/>
    <mergeCell ref="J32:K32"/>
    <mergeCell ref="H25:I25"/>
    <mergeCell ref="J25:K25"/>
    <mergeCell ref="J26:K26"/>
    <mergeCell ref="J28:K28"/>
    <mergeCell ref="J29:K29"/>
    <mergeCell ref="J31:K31"/>
    <mergeCell ref="N23:O23"/>
    <mergeCell ref="F31:G31"/>
    <mergeCell ref="H31:I31"/>
    <mergeCell ref="N27:O27"/>
    <mergeCell ref="F28:G28"/>
    <mergeCell ref="H28:I28"/>
    <mergeCell ref="H26:I26"/>
    <mergeCell ref="F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0" sqref="F30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4" width="9.125" style="1" customWidth="1"/>
    <col min="5" max="5" width="14.625" style="1" customWidth="1"/>
    <col min="6" max="8" width="9.125" style="1" customWidth="1"/>
    <col min="9" max="9" width="11.25390625" style="1" customWidth="1"/>
    <col min="10" max="10" width="9.125" style="1" customWidth="1"/>
    <col min="11" max="11" width="14.125" style="1" customWidth="1"/>
    <col min="12" max="12" width="9.625" style="1" customWidth="1"/>
    <col min="13" max="13" width="15.2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4.00390625" style="1" customWidth="1"/>
    <col min="18" max="19" width="9.125" style="2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T1" s="2"/>
    </row>
    <row r="2" spans="2:17" ht="32.25" customHeight="1" thickBot="1">
      <c r="B2" s="3" t="s">
        <v>15</v>
      </c>
      <c r="C2" s="11" t="s">
        <v>27</v>
      </c>
      <c r="D2" s="11" t="s">
        <v>28</v>
      </c>
      <c r="E2" s="11" t="s">
        <v>29</v>
      </c>
      <c r="F2" s="11" t="s">
        <v>30</v>
      </c>
      <c r="G2" s="11" t="s">
        <v>31</v>
      </c>
      <c r="H2" s="11" t="s">
        <v>32</v>
      </c>
      <c r="I2" s="11" t="s">
        <v>33</v>
      </c>
      <c r="J2" s="11" t="s">
        <v>34</v>
      </c>
      <c r="K2" s="11" t="s">
        <v>35</v>
      </c>
      <c r="L2" s="11" t="s">
        <v>173</v>
      </c>
      <c r="M2" s="3" t="s">
        <v>24</v>
      </c>
      <c r="N2" s="3" t="s">
        <v>26</v>
      </c>
      <c r="O2" s="3" t="s">
        <v>23</v>
      </c>
      <c r="P2" s="3" t="s">
        <v>25</v>
      </c>
      <c r="Q2" s="13" t="s">
        <v>134</v>
      </c>
    </row>
    <row r="3" spans="1:19" s="41" customFormat="1" ht="15.75">
      <c r="A3" s="20" t="s">
        <v>145</v>
      </c>
      <c r="B3" s="39" t="s">
        <v>2</v>
      </c>
      <c r="C3" s="39">
        <v>430</v>
      </c>
      <c r="D3" s="20"/>
      <c r="E3" s="68">
        <v>468</v>
      </c>
      <c r="F3" s="20"/>
      <c r="G3" s="20"/>
      <c r="H3" s="68">
        <v>462</v>
      </c>
      <c r="I3" s="20">
        <v>404</v>
      </c>
      <c r="J3" s="68">
        <v>446</v>
      </c>
      <c r="K3" s="20">
        <v>412</v>
      </c>
      <c r="L3" s="48"/>
      <c r="M3" s="49">
        <f aca="true" t="shared" si="0" ref="M3:M17">SUM(B3:L3)</f>
        <v>2622</v>
      </c>
      <c r="N3" s="39">
        <v>5</v>
      </c>
      <c r="O3" s="39">
        <v>3</v>
      </c>
      <c r="P3" s="39">
        <f>2622-2570</f>
        <v>52</v>
      </c>
      <c r="Q3" s="39">
        <v>2</v>
      </c>
      <c r="R3" s="50"/>
      <c r="S3" s="50"/>
    </row>
    <row r="4" spans="1:19" s="41" customFormat="1" ht="15.75">
      <c r="A4" s="20" t="s">
        <v>146</v>
      </c>
      <c r="B4" s="39" t="s">
        <v>10</v>
      </c>
      <c r="C4" s="74"/>
      <c r="D4" s="87">
        <v>398</v>
      </c>
      <c r="E4" s="74"/>
      <c r="F4" s="87">
        <v>406</v>
      </c>
      <c r="G4" s="87">
        <v>397</v>
      </c>
      <c r="H4" s="74"/>
      <c r="I4" s="74">
        <v>367</v>
      </c>
      <c r="J4" s="74"/>
      <c r="K4" s="74">
        <v>373</v>
      </c>
      <c r="L4" s="86">
        <v>405</v>
      </c>
      <c r="M4" s="49">
        <f>SUM(B4:L4)</f>
        <v>2346</v>
      </c>
      <c r="N4" s="39">
        <v>6</v>
      </c>
      <c r="O4" s="39">
        <v>2</v>
      </c>
      <c r="P4" s="39">
        <v>87</v>
      </c>
      <c r="Q4" s="39">
        <v>2</v>
      </c>
      <c r="R4" s="50"/>
      <c r="S4" s="50"/>
    </row>
    <row r="5" spans="1:13" ht="15.75">
      <c r="A5" s="39" t="s">
        <v>147</v>
      </c>
      <c r="B5" s="1" t="s">
        <v>9</v>
      </c>
      <c r="C5" s="76"/>
      <c r="D5" s="77"/>
      <c r="E5" s="77"/>
      <c r="F5" s="77"/>
      <c r="G5" s="77"/>
      <c r="H5" s="77"/>
      <c r="I5" s="77"/>
      <c r="J5" s="77"/>
      <c r="K5" s="77"/>
      <c r="L5" s="78"/>
      <c r="M5" s="7">
        <f>SUM(B5:L5)</f>
        <v>0</v>
      </c>
    </row>
    <row r="6" spans="1:19" s="41" customFormat="1" ht="15.75">
      <c r="A6" s="39" t="s">
        <v>148</v>
      </c>
      <c r="B6" s="39" t="s">
        <v>8</v>
      </c>
      <c r="C6" s="74"/>
      <c r="D6" s="79">
        <v>430</v>
      </c>
      <c r="E6" s="79"/>
      <c r="F6" s="79">
        <v>421</v>
      </c>
      <c r="G6" s="79"/>
      <c r="H6" s="87">
        <v>451</v>
      </c>
      <c r="I6" s="87">
        <v>445</v>
      </c>
      <c r="J6" s="87">
        <v>465</v>
      </c>
      <c r="K6" s="79"/>
      <c r="L6" s="80">
        <v>379</v>
      </c>
      <c r="M6" s="49">
        <f t="shared" si="0"/>
        <v>2591</v>
      </c>
      <c r="N6" s="39">
        <v>5</v>
      </c>
      <c r="O6" s="39">
        <v>3</v>
      </c>
      <c r="P6" s="39">
        <v>32</v>
      </c>
      <c r="Q6" s="39">
        <v>2</v>
      </c>
      <c r="R6" s="50"/>
      <c r="S6" s="50"/>
    </row>
    <row r="7" spans="1:19" s="38" customFormat="1" ht="15.75">
      <c r="A7" s="17" t="s">
        <v>149</v>
      </c>
      <c r="B7" s="17" t="s">
        <v>0</v>
      </c>
      <c r="C7" s="81"/>
      <c r="D7" s="89">
        <v>433</v>
      </c>
      <c r="E7" s="82"/>
      <c r="F7" s="82">
        <v>416</v>
      </c>
      <c r="G7" s="82"/>
      <c r="H7" s="89">
        <v>449</v>
      </c>
      <c r="I7" s="82">
        <v>422</v>
      </c>
      <c r="J7" s="82">
        <v>420</v>
      </c>
      <c r="K7" s="82">
        <v>422</v>
      </c>
      <c r="L7" s="83"/>
      <c r="M7" s="28">
        <f t="shared" si="0"/>
        <v>2562</v>
      </c>
      <c r="N7" s="17">
        <v>2</v>
      </c>
      <c r="O7" s="17">
        <v>6</v>
      </c>
      <c r="P7" s="17">
        <v>39</v>
      </c>
      <c r="Q7" s="17">
        <v>0</v>
      </c>
      <c r="R7" s="46"/>
      <c r="S7" s="46"/>
    </row>
    <row r="8" spans="1:19" s="41" customFormat="1" ht="15.75">
      <c r="A8" s="39" t="s">
        <v>150</v>
      </c>
      <c r="B8" s="39" t="s">
        <v>1</v>
      </c>
      <c r="C8" s="74">
        <v>430</v>
      </c>
      <c r="D8" s="74">
        <v>399</v>
      </c>
      <c r="E8" s="87">
        <v>464</v>
      </c>
      <c r="F8" s="74"/>
      <c r="G8" s="74"/>
      <c r="H8" s="87">
        <v>450</v>
      </c>
      <c r="I8" s="74">
        <v>447</v>
      </c>
      <c r="J8" s="74"/>
      <c r="K8" s="74">
        <v>428</v>
      </c>
      <c r="L8" s="75"/>
      <c r="M8" s="49">
        <f t="shared" si="0"/>
        <v>2618</v>
      </c>
      <c r="N8" s="39">
        <v>2</v>
      </c>
      <c r="O8" s="39">
        <v>6</v>
      </c>
      <c r="P8" s="39">
        <v>-54</v>
      </c>
      <c r="Q8" s="39">
        <v>0</v>
      </c>
      <c r="R8" s="50"/>
      <c r="S8" s="50"/>
    </row>
    <row r="9" spans="1:19" s="38" customFormat="1" ht="15.75">
      <c r="A9" s="17" t="s">
        <v>151</v>
      </c>
      <c r="B9" s="17" t="s">
        <v>18</v>
      </c>
      <c r="C9" s="89">
        <v>473</v>
      </c>
      <c r="D9" s="82"/>
      <c r="E9" s="82"/>
      <c r="F9" s="82">
        <v>425</v>
      </c>
      <c r="G9" s="82"/>
      <c r="H9" s="89">
        <v>474</v>
      </c>
      <c r="I9" s="82">
        <v>424</v>
      </c>
      <c r="J9" s="89">
        <v>437</v>
      </c>
      <c r="K9" s="89">
        <v>448</v>
      </c>
      <c r="L9" s="83"/>
      <c r="M9" s="28">
        <f t="shared" si="0"/>
        <v>2681</v>
      </c>
      <c r="N9" s="17">
        <v>6</v>
      </c>
      <c r="O9" s="17">
        <v>2</v>
      </c>
      <c r="P9" s="17">
        <v>225</v>
      </c>
      <c r="Q9" s="17">
        <v>2</v>
      </c>
      <c r="R9" s="46"/>
      <c r="S9" s="46"/>
    </row>
    <row r="10" spans="1:19" s="41" customFormat="1" ht="15.75">
      <c r="A10" s="39" t="s">
        <v>152</v>
      </c>
      <c r="B10" s="39" t="s">
        <v>6</v>
      </c>
      <c r="C10" s="74">
        <v>408</v>
      </c>
      <c r="D10" s="87">
        <v>436</v>
      </c>
      <c r="E10" s="79"/>
      <c r="F10" s="87">
        <v>456</v>
      </c>
      <c r="G10" s="79"/>
      <c r="H10" s="87">
        <v>432</v>
      </c>
      <c r="I10" s="79">
        <v>407</v>
      </c>
      <c r="J10" s="79"/>
      <c r="K10" s="79"/>
      <c r="L10" s="80">
        <v>369</v>
      </c>
      <c r="M10" s="49">
        <f t="shared" si="0"/>
        <v>2508</v>
      </c>
      <c r="N10" s="39">
        <v>5</v>
      </c>
      <c r="O10" s="39">
        <v>3</v>
      </c>
      <c r="P10" s="39">
        <v>72</v>
      </c>
      <c r="Q10" s="39">
        <v>2</v>
      </c>
      <c r="R10" s="50"/>
      <c r="S10" s="50"/>
    </row>
    <row r="11" spans="1:19" s="38" customFormat="1" ht="15.75">
      <c r="A11" s="17" t="s">
        <v>153</v>
      </c>
      <c r="B11" s="17" t="s">
        <v>5</v>
      </c>
      <c r="C11" s="89">
        <v>473</v>
      </c>
      <c r="D11" s="82"/>
      <c r="E11" s="89">
        <v>451</v>
      </c>
      <c r="F11" s="89">
        <v>443</v>
      </c>
      <c r="G11" s="82"/>
      <c r="H11" s="89">
        <v>474</v>
      </c>
      <c r="I11" s="82"/>
      <c r="J11" s="82">
        <v>406</v>
      </c>
      <c r="K11" s="82">
        <v>420</v>
      </c>
      <c r="L11" s="83"/>
      <c r="M11" s="28">
        <f t="shared" si="0"/>
        <v>2667</v>
      </c>
      <c r="N11" s="17">
        <v>6</v>
      </c>
      <c r="O11" s="17">
        <v>2</v>
      </c>
      <c r="P11" s="17">
        <v>62</v>
      </c>
      <c r="Q11" s="17">
        <v>2</v>
      </c>
      <c r="R11" s="46"/>
      <c r="S11" s="46"/>
    </row>
    <row r="12" spans="1:19" s="41" customFormat="1" ht="15.75">
      <c r="A12" s="39" t="s">
        <v>154</v>
      </c>
      <c r="B12" s="39" t="s">
        <v>4</v>
      </c>
      <c r="C12" s="74"/>
      <c r="D12" s="87">
        <v>436</v>
      </c>
      <c r="E12" s="87">
        <v>454</v>
      </c>
      <c r="F12" s="79">
        <v>419</v>
      </c>
      <c r="G12" s="79">
        <v>400</v>
      </c>
      <c r="H12" s="87">
        <v>455</v>
      </c>
      <c r="I12" s="79"/>
      <c r="J12" s="79"/>
      <c r="K12" s="79"/>
      <c r="L12" s="80">
        <v>404</v>
      </c>
      <c r="M12" s="49">
        <f t="shared" si="0"/>
        <v>2568</v>
      </c>
      <c r="N12" s="39">
        <v>5</v>
      </c>
      <c r="O12" s="39">
        <v>3</v>
      </c>
      <c r="P12" s="39">
        <v>122</v>
      </c>
      <c r="Q12" s="39">
        <v>2</v>
      </c>
      <c r="R12" s="50"/>
      <c r="S12" s="50"/>
    </row>
    <row r="13" spans="1:19" s="38" customFormat="1" ht="15.75">
      <c r="A13" s="17" t="s">
        <v>155</v>
      </c>
      <c r="B13" s="17" t="s">
        <v>3</v>
      </c>
      <c r="C13" s="89">
        <v>452</v>
      </c>
      <c r="D13" s="82">
        <v>408</v>
      </c>
      <c r="E13" s="89">
        <v>442</v>
      </c>
      <c r="F13" s="82"/>
      <c r="G13" s="82"/>
      <c r="H13" s="82">
        <v>425</v>
      </c>
      <c r="I13" s="89">
        <v>459</v>
      </c>
      <c r="J13" s="82"/>
      <c r="K13" s="82">
        <v>425</v>
      </c>
      <c r="L13" s="83"/>
      <c r="M13" s="28">
        <f t="shared" si="0"/>
        <v>2611</v>
      </c>
      <c r="N13" s="17">
        <v>5</v>
      </c>
      <c r="O13" s="17">
        <v>3</v>
      </c>
      <c r="P13" s="17">
        <v>174</v>
      </c>
      <c r="Q13" s="17">
        <v>2</v>
      </c>
      <c r="R13" s="46"/>
      <c r="S13" s="46"/>
    </row>
    <row r="14" spans="1:19" s="41" customFormat="1" ht="15.75">
      <c r="A14" s="39" t="s">
        <v>156</v>
      </c>
      <c r="B14" s="39" t="s">
        <v>16</v>
      </c>
      <c r="C14" s="74"/>
      <c r="D14" s="79">
        <v>424</v>
      </c>
      <c r="E14" s="79">
        <v>419</v>
      </c>
      <c r="F14" s="79">
        <v>421</v>
      </c>
      <c r="G14" s="79"/>
      <c r="H14" s="87">
        <v>471</v>
      </c>
      <c r="I14" s="87">
        <v>436</v>
      </c>
      <c r="J14" s="79">
        <v>421</v>
      </c>
      <c r="K14" s="79"/>
      <c r="L14" s="80"/>
      <c r="M14" s="49">
        <f t="shared" si="0"/>
        <v>2592</v>
      </c>
      <c r="N14" s="39">
        <v>2</v>
      </c>
      <c r="O14" s="39">
        <v>6</v>
      </c>
      <c r="P14" s="39">
        <v>-85</v>
      </c>
      <c r="Q14" s="39">
        <v>0</v>
      </c>
      <c r="R14" s="50"/>
      <c r="S14" s="50"/>
    </row>
    <row r="15" spans="1:19" s="38" customFormat="1" ht="15.75">
      <c r="A15" s="17" t="s">
        <v>157</v>
      </c>
      <c r="B15" s="17" t="s">
        <v>14</v>
      </c>
      <c r="C15" s="81">
        <v>432</v>
      </c>
      <c r="D15" s="82"/>
      <c r="E15" s="89">
        <v>453</v>
      </c>
      <c r="F15" s="82">
        <v>427</v>
      </c>
      <c r="G15" s="82"/>
      <c r="H15" s="89">
        <v>463</v>
      </c>
      <c r="I15" s="82">
        <v>396</v>
      </c>
      <c r="J15" s="82"/>
      <c r="K15" s="89">
        <v>446</v>
      </c>
      <c r="L15" s="83"/>
      <c r="M15" s="28">
        <f t="shared" si="0"/>
        <v>2617</v>
      </c>
      <c r="N15" s="17">
        <v>3</v>
      </c>
      <c r="O15" s="17">
        <v>5</v>
      </c>
      <c r="P15" s="17">
        <v>-89</v>
      </c>
      <c r="Q15" s="17">
        <v>0</v>
      </c>
      <c r="R15" s="46"/>
      <c r="S15" s="46"/>
    </row>
    <row r="16" spans="1:19" s="41" customFormat="1" ht="15.75">
      <c r="A16" s="39" t="s">
        <v>158</v>
      </c>
      <c r="B16" s="39" t="s">
        <v>13</v>
      </c>
      <c r="C16" s="87">
        <v>460</v>
      </c>
      <c r="D16" s="79">
        <v>415</v>
      </c>
      <c r="E16" s="79">
        <v>419</v>
      </c>
      <c r="F16" s="87">
        <v>469</v>
      </c>
      <c r="G16" s="79"/>
      <c r="H16" s="87">
        <v>486</v>
      </c>
      <c r="I16" s="79"/>
      <c r="J16" s="87">
        <v>432</v>
      </c>
      <c r="K16" s="79"/>
      <c r="L16" s="80"/>
      <c r="M16" s="49">
        <f t="shared" si="0"/>
        <v>2681</v>
      </c>
      <c r="N16" s="39">
        <v>6</v>
      </c>
      <c r="O16" s="39">
        <v>2</v>
      </c>
      <c r="P16" s="39">
        <v>85</v>
      </c>
      <c r="Q16" s="39">
        <v>2</v>
      </c>
      <c r="R16" s="50"/>
      <c r="S16" s="50"/>
    </row>
    <row r="17" spans="1:19" s="38" customFormat="1" ht="16.5" thickBot="1">
      <c r="A17" s="19" t="s">
        <v>159</v>
      </c>
      <c r="B17" s="17" t="s">
        <v>12</v>
      </c>
      <c r="C17" s="98">
        <v>490</v>
      </c>
      <c r="D17" s="84"/>
      <c r="E17" s="98">
        <v>444</v>
      </c>
      <c r="F17" s="84">
        <v>406</v>
      </c>
      <c r="G17" s="84"/>
      <c r="H17" s="98">
        <v>441</v>
      </c>
      <c r="I17" s="84"/>
      <c r="J17" s="84">
        <v>432</v>
      </c>
      <c r="K17" s="98">
        <v>439</v>
      </c>
      <c r="L17" s="85"/>
      <c r="M17" s="47">
        <f t="shared" si="0"/>
        <v>2652</v>
      </c>
      <c r="N17" s="42">
        <v>4</v>
      </c>
      <c r="O17" s="42">
        <v>4</v>
      </c>
      <c r="P17" s="42">
        <v>-14</v>
      </c>
      <c r="Q17" s="42">
        <v>1</v>
      </c>
      <c r="R17" s="46"/>
      <c r="S17" s="46"/>
    </row>
    <row r="18" spans="3:12" ht="16.5" thickTop="1">
      <c r="C18" s="7">
        <f>SUM(C3:C17)</f>
        <v>4048</v>
      </c>
      <c r="D18" s="7">
        <f aca="true" t="shared" si="1" ref="D18:L18">SUM(D3:D17)</f>
        <v>3779</v>
      </c>
      <c r="E18" s="7">
        <f t="shared" si="1"/>
        <v>4014</v>
      </c>
      <c r="F18" s="7">
        <f t="shared" si="1"/>
        <v>4709</v>
      </c>
      <c r="G18" s="7">
        <f t="shared" si="1"/>
        <v>797</v>
      </c>
      <c r="H18" s="7">
        <f t="shared" si="1"/>
        <v>5933</v>
      </c>
      <c r="I18" s="7">
        <f t="shared" si="1"/>
        <v>4207</v>
      </c>
      <c r="J18" s="7">
        <f t="shared" si="1"/>
        <v>3459</v>
      </c>
      <c r="K18" s="7">
        <f t="shared" si="1"/>
        <v>3813</v>
      </c>
      <c r="L18" s="7">
        <f t="shared" si="1"/>
        <v>1557</v>
      </c>
    </row>
    <row r="19" spans="2:19" ht="36.75" customHeight="1">
      <c r="B19" s="93" t="s">
        <v>206</v>
      </c>
      <c r="C19" s="94">
        <f>C18/9</f>
        <v>449.77777777777777</v>
      </c>
      <c r="D19" s="94">
        <f>D18/9</f>
        <v>419.8888888888889</v>
      </c>
      <c r="E19" s="94">
        <f>E18/9</f>
        <v>446</v>
      </c>
      <c r="F19" s="94">
        <f>F18/11</f>
        <v>428.09090909090907</v>
      </c>
      <c r="G19" s="94">
        <f>G18/2</f>
        <v>398.5</v>
      </c>
      <c r="H19" s="94">
        <f>H18/13</f>
        <v>456.38461538461536</v>
      </c>
      <c r="I19" s="94">
        <f>I18/10</f>
        <v>420.7</v>
      </c>
      <c r="J19" s="94">
        <f>J18/8</f>
        <v>432.375</v>
      </c>
      <c r="K19" s="94">
        <f>K18/9</f>
        <v>423.6666666666667</v>
      </c>
      <c r="L19" s="94">
        <f>L18/4</f>
        <v>389.25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  <c r="S19" s="65"/>
    </row>
    <row r="20" spans="3:17" ht="15.75">
      <c r="C20" s="103" t="s">
        <v>39</v>
      </c>
      <c r="D20" s="103"/>
      <c r="M20" s="7">
        <f>SUM(M3:M17)</f>
        <v>36316</v>
      </c>
      <c r="N20" s="1">
        <f>SUM(N3:N17)+77</f>
        <v>139</v>
      </c>
      <c r="O20" s="1">
        <f>SUM(O3:O17)+35</f>
        <v>85</v>
      </c>
      <c r="P20" s="1">
        <f>SUM(P3:P17)</f>
        <v>708</v>
      </c>
      <c r="Q20" s="1">
        <f>SUM(Q3:Q17)+26</f>
        <v>45</v>
      </c>
    </row>
    <row r="21" spans="3:4" ht="15.75">
      <c r="C21" s="104" t="s">
        <v>160</v>
      </c>
      <c r="D21" s="104"/>
    </row>
    <row r="22" spans="3:15" ht="15.75">
      <c r="C22" s="111" t="s">
        <v>161</v>
      </c>
      <c r="D22" s="111"/>
      <c r="N22" s="106" t="s">
        <v>170</v>
      </c>
      <c r="O22" s="106"/>
    </row>
    <row r="23" spans="14:15" ht="15.75">
      <c r="N23" s="107">
        <f>N20-O20</f>
        <v>54</v>
      </c>
      <c r="O23" s="107"/>
    </row>
    <row r="24" spans="3:20" ht="15.75">
      <c r="C24" s="29" t="s">
        <v>162</v>
      </c>
      <c r="T24" s="2"/>
    </row>
    <row r="25" spans="2:20" ht="19.5" customHeight="1">
      <c r="B25" s="3" t="s">
        <v>163</v>
      </c>
      <c r="C25" s="3" t="s">
        <v>164</v>
      </c>
      <c r="D25" s="3" t="s">
        <v>165</v>
      </c>
      <c r="E25" s="3" t="s">
        <v>166</v>
      </c>
      <c r="F25" s="101" t="s">
        <v>135</v>
      </c>
      <c r="G25" s="101"/>
      <c r="H25" s="101" t="s">
        <v>182</v>
      </c>
      <c r="I25" s="101"/>
      <c r="J25" s="102" t="s">
        <v>136</v>
      </c>
      <c r="K25" s="102"/>
      <c r="T25" s="2"/>
    </row>
    <row r="26" spans="2:20" ht="15.75">
      <c r="B26" s="1" t="s">
        <v>183</v>
      </c>
      <c r="C26" s="1">
        <v>12</v>
      </c>
      <c r="D26" s="1">
        <v>2</v>
      </c>
      <c r="F26" s="1">
        <v>77</v>
      </c>
      <c r="G26" s="1">
        <v>35</v>
      </c>
      <c r="H26" s="109">
        <v>2603</v>
      </c>
      <c r="I26" s="109"/>
      <c r="J26" s="109">
        <v>26</v>
      </c>
      <c r="K26" s="109"/>
      <c r="T26" s="2"/>
    </row>
    <row r="27" spans="3:20" ht="15.75">
      <c r="C27" s="29" t="s">
        <v>167</v>
      </c>
      <c r="M27" s="101" t="s">
        <v>182</v>
      </c>
      <c r="N27" s="101"/>
      <c r="O27" s="7">
        <f>AVERAGE(M3,M4,M16,M6,M7,M9,M10,M11,M12,M14,M15,M13,M8,M17)</f>
        <v>2594</v>
      </c>
      <c r="T27" s="2"/>
    </row>
    <row r="28" spans="3:20" ht="34.5" customHeight="1">
      <c r="C28" s="3" t="s">
        <v>164</v>
      </c>
      <c r="D28" s="3" t="s">
        <v>165</v>
      </c>
      <c r="E28" s="3" t="s">
        <v>166</v>
      </c>
      <c r="F28" s="101" t="s">
        <v>135</v>
      </c>
      <c r="G28" s="101"/>
      <c r="H28" s="101" t="s">
        <v>24</v>
      </c>
      <c r="I28" s="101"/>
      <c r="J28" s="102" t="s">
        <v>168</v>
      </c>
      <c r="K28" s="102"/>
      <c r="T28" s="2"/>
    </row>
    <row r="29" spans="3:20" ht="15.75">
      <c r="C29" s="1">
        <v>3</v>
      </c>
      <c r="D29" s="1">
        <v>1</v>
      </c>
      <c r="E29" s="1">
        <v>2</v>
      </c>
      <c r="F29" s="1">
        <f>N7+N9+N11+N13+N15+N17</f>
        <v>26</v>
      </c>
      <c r="G29" s="1">
        <f>O7+O9+O11+O13+O15+O17</f>
        <v>22</v>
      </c>
      <c r="H29" s="108">
        <f>M7+M9+M11+M13+M15+M17</f>
        <v>15790</v>
      </c>
      <c r="I29" s="109"/>
      <c r="J29" s="109">
        <f>Q7+Q9+Q11+Q13+Q15+Q17</f>
        <v>7</v>
      </c>
      <c r="K29" s="109"/>
      <c r="T29" s="2"/>
    </row>
    <row r="30" spans="3:20" ht="15.75">
      <c r="C30" s="29" t="s">
        <v>169</v>
      </c>
      <c r="T30" s="2"/>
    </row>
    <row r="31" spans="3:20" ht="29.25" customHeight="1">
      <c r="C31" s="3" t="s">
        <v>164</v>
      </c>
      <c r="D31" s="3" t="s">
        <v>165</v>
      </c>
      <c r="E31" s="3" t="s">
        <v>166</v>
      </c>
      <c r="F31" s="101" t="s">
        <v>135</v>
      </c>
      <c r="G31" s="101"/>
      <c r="H31" s="101" t="s">
        <v>24</v>
      </c>
      <c r="I31" s="101"/>
      <c r="J31" s="102" t="s">
        <v>168</v>
      </c>
      <c r="K31" s="102"/>
      <c r="T31" s="2"/>
    </row>
    <row r="32" spans="3:20" ht="15.75">
      <c r="C32" s="1">
        <v>6</v>
      </c>
      <c r="E32" s="1">
        <v>2</v>
      </c>
      <c r="F32" s="7">
        <f>N3+N4+N6+N8+N10+N12+N14+N16</f>
        <v>36</v>
      </c>
      <c r="G32" s="7">
        <f>O3+O4+O6+O8+O10+O12+O14+O16</f>
        <v>28</v>
      </c>
      <c r="H32" s="108">
        <f>M3+M4+M6+M8+M10+M12+M14+M16</f>
        <v>20526</v>
      </c>
      <c r="I32" s="109"/>
      <c r="J32" s="108">
        <f>Q3+Q4+Q6+Q8+Q10+Q12+Q14+Q16</f>
        <v>12</v>
      </c>
      <c r="K32" s="109"/>
      <c r="T32" s="2"/>
    </row>
  </sheetData>
  <mergeCells count="24">
    <mergeCell ref="M27:N27"/>
    <mergeCell ref="H32:I32"/>
    <mergeCell ref="J29:K29"/>
    <mergeCell ref="H29:I29"/>
    <mergeCell ref="J32:K32"/>
    <mergeCell ref="J31:K31"/>
    <mergeCell ref="J25:K25"/>
    <mergeCell ref="H26:I26"/>
    <mergeCell ref="J26:K26"/>
    <mergeCell ref="H28:I28"/>
    <mergeCell ref="J28:K28"/>
    <mergeCell ref="F25:G25"/>
    <mergeCell ref="H25:I25"/>
    <mergeCell ref="F31:G31"/>
    <mergeCell ref="H31:I31"/>
    <mergeCell ref="F28:G28"/>
    <mergeCell ref="N22:O22"/>
    <mergeCell ref="N23:O23"/>
    <mergeCell ref="C1:L1"/>
    <mergeCell ref="N1:O1"/>
    <mergeCell ref="C20:D20"/>
    <mergeCell ref="N19:O19"/>
    <mergeCell ref="C21:D21"/>
    <mergeCell ref="C22:D22"/>
  </mergeCells>
  <printOptions/>
  <pageMargins left="0.75" right="0.75" top="1" bottom="1" header="0.5" footer="0.5"/>
  <pageSetup orientation="portrait" paperSize="9"/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8" sqref="T8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9.125" style="1" customWidth="1"/>
    <col min="4" max="4" width="10.375" style="1" customWidth="1"/>
    <col min="5" max="8" width="9.125" style="1" customWidth="1"/>
    <col min="9" max="9" width="9.75390625" style="1" customWidth="1"/>
    <col min="10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37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2:17" ht="32.25" thickBot="1">
      <c r="B2" s="3" t="s">
        <v>15</v>
      </c>
      <c r="C2" s="11" t="s">
        <v>119</v>
      </c>
      <c r="D2" s="11" t="s">
        <v>120</v>
      </c>
      <c r="E2" s="11" t="s">
        <v>121</v>
      </c>
      <c r="F2" s="11" t="s">
        <v>122</v>
      </c>
      <c r="G2" s="11" t="s">
        <v>123</v>
      </c>
      <c r="H2" s="11" t="s">
        <v>124</v>
      </c>
      <c r="I2" s="11" t="s">
        <v>199</v>
      </c>
      <c r="J2" s="11" t="s">
        <v>125</v>
      </c>
      <c r="K2" s="11" t="s">
        <v>174</v>
      </c>
      <c r="L2" s="11"/>
      <c r="M2" s="3" t="s">
        <v>24</v>
      </c>
      <c r="N2" s="3" t="s">
        <v>1</v>
      </c>
      <c r="O2" s="3" t="s">
        <v>23</v>
      </c>
      <c r="P2" s="3" t="s">
        <v>25</v>
      </c>
      <c r="Q2" s="13" t="s">
        <v>134</v>
      </c>
    </row>
    <row r="3" spans="1:17" s="36" customFormat="1" ht="15.75">
      <c r="A3" s="18" t="s">
        <v>145</v>
      </c>
      <c r="B3" s="21" t="s">
        <v>3</v>
      </c>
      <c r="C3" s="32">
        <v>412</v>
      </c>
      <c r="D3" s="71">
        <v>447</v>
      </c>
      <c r="E3" s="32">
        <v>420</v>
      </c>
      <c r="F3" s="32"/>
      <c r="G3" s="71">
        <v>439</v>
      </c>
      <c r="H3" s="32"/>
      <c r="I3" s="32">
        <v>435</v>
      </c>
      <c r="J3" s="71">
        <v>439</v>
      </c>
      <c r="K3" s="32"/>
      <c r="L3" s="33"/>
      <c r="M3" s="23">
        <f aca="true" t="shared" si="0" ref="M3:M13">SUM(C3:L3)</f>
        <v>2592</v>
      </c>
      <c r="N3" s="21">
        <v>3</v>
      </c>
      <c r="O3" s="21">
        <v>5</v>
      </c>
      <c r="P3" s="21">
        <v>-56</v>
      </c>
      <c r="Q3" s="21">
        <v>0</v>
      </c>
    </row>
    <row r="4" spans="1:17" s="38" customFormat="1" ht="15.75">
      <c r="A4" s="19" t="s">
        <v>146</v>
      </c>
      <c r="B4" s="17" t="s">
        <v>16</v>
      </c>
      <c r="C4" s="17"/>
      <c r="D4" s="67">
        <v>447</v>
      </c>
      <c r="E4" s="19">
        <v>408</v>
      </c>
      <c r="F4" s="19"/>
      <c r="G4" s="67">
        <v>456</v>
      </c>
      <c r="H4" s="19">
        <v>406</v>
      </c>
      <c r="I4" s="19"/>
      <c r="J4" s="67">
        <v>459</v>
      </c>
      <c r="K4" s="19">
        <v>379</v>
      </c>
      <c r="L4" s="45"/>
      <c r="M4" s="28">
        <f t="shared" si="0"/>
        <v>2555</v>
      </c>
      <c r="N4" s="17">
        <v>3</v>
      </c>
      <c r="O4" s="17">
        <v>5</v>
      </c>
      <c r="P4" s="17">
        <v>-19</v>
      </c>
      <c r="Q4" s="17">
        <v>0</v>
      </c>
    </row>
    <row r="5" spans="1:17" s="36" customFormat="1" ht="15.75">
      <c r="A5" s="21" t="s">
        <v>147</v>
      </c>
      <c r="B5" s="21" t="s">
        <v>14</v>
      </c>
      <c r="C5" s="70">
        <v>426</v>
      </c>
      <c r="D5" s="70">
        <v>432</v>
      </c>
      <c r="E5" s="70">
        <v>447</v>
      </c>
      <c r="F5" s="18"/>
      <c r="G5" s="18">
        <v>413</v>
      </c>
      <c r="H5" s="18"/>
      <c r="I5" s="18">
        <v>412</v>
      </c>
      <c r="J5" s="70">
        <v>478</v>
      </c>
      <c r="K5" s="18"/>
      <c r="L5" s="34"/>
      <c r="M5" s="23">
        <f t="shared" si="0"/>
        <v>2608</v>
      </c>
      <c r="N5" s="21">
        <v>6</v>
      </c>
      <c r="O5" s="21">
        <v>2</v>
      </c>
      <c r="P5" s="21">
        <v>120</v>
      </c>
      <c r="Q5" s="21">
        <v>2</v>
      </c>
    </row>
    <row r="6" spans="1:17" s="38" customFormat="1" ht="15.75">
      <c r="A6" s="17" t="s">
        <v>148</v>
      </c>
      <c r="B6" s="17" t="s">
        <v>13</v>
      </c>
      <c r="C6" s="67">
        <v>446</v>
      </c>
      <c r="D6" s="67">
        <v>466</v>
      </c>
      <c r="E6" s="19">
        <v>404</v>
      </c>
      <c r="F6" s="19"/>
      <c r="G6" s="19">
        <v>403</v>
      </c>
      <c r="H6" s="19"/>
      <c r="I6" s="67">
        <v>469</v>
      </c>
      <c r="J6" s="67">
        <v>448</v>
      </c>
      <c r="K6" s="19"/>
      <c r="L6" s="45"/>
      <c r="M6" s="28">
        <f t="shared" si="0"/>
        <v>2636</v>
      </c>
      <c r="N6" s="17">
        <v>6</v>
      </c>
      <c r="O6" s="17">
        <v>2</v>
      </c>
      <c r="P6" s="17">
        <v>24</v>
      </c>
      <c r="Q6" s="17">
        <v>2</v>
      </c>
    </row>
    <row r="7" spans="1:17" s="36" customFormat="1" ht="15.75">
      <c r="A7" s="21" t="s">
        <v>149</v>
      </c>
      <c r="B7" s="21" t="s">
        <v>12</v>
      </c>
      <c r="C7" s="21">
        <v>401</v>
      </c>
      <c r="D7" s="70">
        <v>433</v>
      </c>
      <c r="E7" s="18">
        <v>405</v>
      </c>
      <c r="F7" s="18"/>
      <c r="G7" s="18">
        <v>405</v>
      </c>
      <c r="H7" s="18"/>
      <c r="I7" s="18">
        <v>417</v>
      </c>
      <c r="J7" s="18">
        <v>409</v>
      </c>
      <c r="K7" s="18"/>
      <c r="L7" s="34"/>
      <c r="M7" s="23">
        <f t="shared" si="0"/>
        <v>2470</v>
      </c>
      <c r="N7" s="21">
        <v>1</v>
      </c>
      <c r="O7" s="21">
        <v>7</v>
      </c>
      <c r="P7" s="21">
        <v>-93</v>
      </c>
      <c r="Q7" s="21">
        <v>0</v>
      </c>
    </row>
    <row r="8" spans="1:17" s="38" customFormat="1" ht="15.75">
      <c r="A8" s="17" t="s">
        <v>150</v>
      </c>
      <c r="B8" s="17" t="s">
        <v>11</v>
      </c>
      <c r="C8" s="67">
        <v>450</v>
      </c>
      <c r="D8" s="67">
        <v>451</v>
      </c>
      <c r="E8" s="67">
        <v>465</v>
      </c>
      <c r="F8" s="19"/>
      <c r="G8" s="19">
        <v>421</v>
      </c>
      <c r="H8" s="19"/>
      <c r="I8" s="19">
        <v>427</v>
      </c>
      <c r="J8" s="67">
        <v>458</v>
      </c>
      <c r="K8" s="19"/>
      <c r="L8" s="45"/>
      <c r="M8" s="28">
        <f t="shared" si="0"/>
        <v>2672</v>
      </c>
      <c r="N8" s="17">
        <v>6</v>
      </c>
      <c r="O8" s="17">
        <v>2</v>
      </c>
      <c r="P8" s="17">
        <v>54</v>
      </c>
      <c r="Q8" s="17">
        <v>2</v>
      </c>
    </row>
    <row r="9" spans="1:17" s="36" customFormat="1" ht="15.75">
      <c r="A9" s="21" t="s">
        <v>151</v>
      </c>
      <c r="B9" s="21" t="s">
        <v>10</v>
      </c>
      <c r="C9" s="70">
        <v>416</v>
      </c>
      <c r="D9" s="70">
        <v>462</v>
      </c>
      <c r="E9" s="70">
        <v>426</v>
      </c>
      <c r="F9" s="21"/>
      <c r="G9" s="70">
        <v>446</v>
      </c>
      <c r="H9" s="21">
        <v>414</v>
      </c>
      <c r="I9" s="21"/>
      <c r="J9" s="21"/>
      <c r="K9" s="21">
        <v>349</v>
      </c>
      <c r="L9" s="22"/>
      <c r="M9" s="23">
        <f t="shared" si="0"/>
        <v>2513</v>
      </c>
      <c r="N9" s="21">
        <v>6</v>
      </c>
      <c r="O9" s="21">
        <v>2</v>
      </c>
      <c r="P9" s="23">
        <f>M9-2407</f>
        <v>106</v>
      </c>
      <c r="Q9" s="21">
        <v>2</v>
      </c>
    </row>
    <row r="10" spans="1:13" ht="15.75">
      <c r="A10" s="1" t="s">
        <v>152</v>
      </c>
      <c r="B10" s="1" t="s">
        <v>9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7">
        <f t="shared" si="0"/>
        <v>0</v>
      </c>
    </row>
    <row r="11" spans="1:17" s="36" customFormat="1" ht="15.75">
      <c r="A11" s="21" t="s">
        <v>153</v>
      </c>
      <c r="B11" s="21" t="s">
        <v>8</v>
      </c>
      <c r="C11" s="21">
        <v>356</v>
      </c>
      <c r="D11" s="70">
        <v>441</v>
      </c>
      <c r="E11" s="70">
        <v>453</v>
      </c>
      <c r="F11" s="21"/>
      <c r="G11" s="70">
        <v>432</v>
      </c>
      <c r="H11" s="21"/>
      <c r="I11" s="21">
        <v>409</v>
      </c>
      <c r="J11" s="70">
        <v>437</v>
      </c>
      <c r="K11" s="21"/>
      <c r="L11" s="22"/>
      <c r="M11" s="23">
        <f t="shared" si="0"/>
        <v>2528</v>
      </c>
      <c r="N11" s="21">
        <v>4</v>
      </c>
      <c r="O11" s="21">
        <v>4</v>
      </c>
      <c r="P11" s="21">
        <v>-11</v>
      </c>
      <c r="Q11" s="21">
        <v>1</v>
      </c>
    </row>
    <row r="12" spans="1:17" s="38" customFormat="1" ht="15.75">
      <c r="A12" s="17" t="s">
        <v>154</v>
      </c>
      <c r="B12" s="17" t="s">
        <v>0</v>
      </c>
      <c r="C12" s="17"/>
      <c r="D12" s="17">
        <v>436</v>
      </c>
      <c r="E12" s="67">
        <v>457</v>
      </c>
      <c r="F12" s="17"/>
      <c r="G12" s="67">
        <v>440</v>
      </c>
      <c r="H12" s="17">
        <v>404</v>
      </c>
      <c r="I12" s="67">
        <v>437</v>
      </c>
      <c r="J12" s="67">
        <v>445</v>
      </c>
      <c r="K12" s="17"/>
      <c r="L12" s="27"/>
      <c r="M12" s="28">
        <f t="shared" si="0"/>
        <v>2619</v>
      </c>
      <c r="N12" s="17">
        <v>6</v>
      </c>
      <c r="O12" s="17">
        <v>2</v>
      </c>
      <c r="P12" s="17">
        <v>89</v>
      </c>
      <c r="Q12" s="17">
        <v>2</v>
      </c>
    </row>
    <row r="13" spans="1:17" s="38" customFormat="1" ht="15.75">
      <c r="A13" s="17" t="s">
        <v>155</v>
      </c>
      <c r="B13" s="17" t="s">
        <v>2</v>
      </c>
      <c r="C13" s="67">
        <v>445</v>
      </c>
      <c r="D13" s="17"/>
      <c r="E13" s="67">
        <v>445</v>
      </c>
      <c r="F13" s="17"/>
      <c r="G13" s="17">
        <v>435</v>
      </c>
      <c r="H13" s="17">
        <v>383</v>
      </c>
      <c r="I13" s="67">
        <v>436</v>
      </c>
      <c r="J13" s="67">
        <v>461</v>
      </c>
      <c r="K13" s="17"/>
      <c r="L13" s="27"/>
      <c r="M13" s="28">
        <f t="shared" si="0"/>
        <v>2605</v>
      </c>
      <c r="N13" s="17">
        <v>6</v>
      </c>
      <c r="O13" s="17">
        <v>2</v>
      </c>
      <c r="P13" s="17">
        <v>41</v>
      </c>
      <c r="Q13" s="17">
        <v>2</v>
      </c>
    </row>
    <row r="14" spans="1:17" s="36" customFormat="1" ht="15.75">
      <c r="A14" s="21" t="s">
        <v>156</v>
      </c>
      <c r="B14" s="21" t="s">
        <v>18</v>
      </c>
      <c r="C14" s="70">
        <v>423</v>
      </c>
      <c r="D14" s="21">
        <v>398</v>
      </c>
      <c r="E14" s="70">
        <v>430</v>
      </c>
      <c r="F14" s="21"/>
      <c r="G14" s="21"/>
      <c r="H14" s="21">
        <v>409</v>
      </c>
      <c r="I14" s="70">
        <v>431</v>
      </c>
      <c r="J14" s="70">
        <v>458</v>
      </c>
      <c r="K14" s="21"/>
      <c r="L14" s="22"/>
      <c r="M14" s="23">
        <f>SUM(C14:L14)</f>
        <v>2549</v>
      </c>
      <c r="N14" s="21">
        <v>6</v>
      </c>
      <c r="O14" s="21">
        <v>2</v>
      </c>
      <c r="P14" s="23">
        <f>M14-2417</f>
        <v>132</v>
      </c>
      <c r="Q14" s="21">
        <v>2</v>
      </c>
    </row>
    <row r="15" spans="1:17" s="38" customFormat="1" ht="15.75">
      <c r="A15" s="17" t="s">
        <v>157</v>
      </c>
      <c r="B15" s="17" t="s">
        <v>6</v>
      </c>
      <c r="C15" s="67">
        <v>453</v>
      </c>
      <c r="D15" s="17">
        <v>418</v>
      </c>
      <c r="E15" s="67">
        <v>436</v>
      </c>
      <c r="F15" s="17"/>
      <c r="G15" s="17">
        <v>411</v>
      </c>
      <c r="H15" s="17">
        <v>415</v>
      </c>
      <c r="I15" s="17"/>
      <c r="J15" s="67">
        <v>467</v>
      </c>
      <c r="K15" s="17"/>
      <c r="L15" s="27"/>
      <c r="M15" s="28">
        <f>SUM(C15:L15)</f>
        <v>2600</v>
      </c>
      <c r="N15" s="17">
        <v>5</v>
      </c>
      <c r="O15" s="17">
        <v>3</v>
      </c>
      <c r="P15" s="17">
        <v>76</v>
      </c>
      <c r="Q15" s="17">
        <v>2</v>
      </c>
    </row>
    <row r="16" spans="1:17" s="36" customFormat="1" ht="15.75">
      <c r="A16" s="21" t="s">
        <v>158</v>
      </c>
      <c r="B16" s="21" t="s">
        <v>19</v>
      </c>
      <c r="C16" s="21">
        <v>412</v>
      </c>
      <c r="D16" s="70">
        <v>440</v>
      </c>
      <c r="E16" s="70">
        <v>450</v>
      </c>
      <c r="F16" s="21"/>
      <c r="G16" s="70">
        <v>469</v>
      </c>
      <c r="H16" s="21"/>
      <c r="I16" s="21">
        <v>430</v>
      </c>
      <c r="J16" s="70">
        <v>448</v>
      </c>
      <c r="K16" s="21"/>
      <c r="L16" s="22"/>
      <c r="M16" s="23">
        <f>SUM(C16:L16)</f>
        <v>2649</v>
      </c>
      <c r="N16" s="21">
        <v>6</v>
      </c>
      <c r="O16" s="21">
        <v>2</v>
      </c>
      <c r="P16" s="21">
        <v>48</v>
      </c>
      <c r="Q16" s="21">
        <v>2</v>
      </c>
    </row>
    <row r="17" spans="1:17" s="38" customFormat="1" ht="16.5" thickBot="1">
      <c r="A17" s="19" t="s">
        <v>159</v>
      </c>
      <c r="B17" s="17" t="s">
        <v>4</v>
      </c>
      <c r="C17" s="97">
        <v>421</v>
      </c>
      <c r="D17" s="97">
        <v>443</v>
      </c>
      <c r="E17" s="97">
        <v>438</v>
      </c>
      <c r="F17" s="42"/>
      <c r="G17" s="42">
        <v>416</v>
      </c>
      <c r="H17" s="42"/>
      <c r="I17" s="97">
        <v>434</v>
      </c>
      <c r="J17" s="97">
        <v>459</v>
      </c>
      <c r="K17" s="42"/>
      <c r="L17" s="51"/>
      <c r="M17" s="47">
        <f>SUM(C17:L17)</f>
        <v>2611</v>
      </c>
      <c r="N17" s="42">
        <v>7</v>
      </c>
      <c r="O17" s="42">
        <v>1</v>
      </c>
      <c r="P17" s="42">
        <v>201</v>
      </c>
      <c r="Q17" s="42">
        <v>2</v>
      </c>
    </row>
    <row r="18" spans="3:12" ht="16.5" thickTop="1">
      <c r="C18" s="7">
        <f>SUM(C3:C17)</f>
        <v>5061</v>
      </c>
      <c r="D18" s="7">
        <f aca="true" t="shared" si="1" ref="D18:K18">SUM(D3:D17)</f>
        <v>5714</v>
      </c>
      <c r="E18" s="7">
        <f t="shared" si="1"/>
        <v>6084</v>
      </c>
      <c r="F18" s="7">
        <f t="shared" si="1"/>
        <v>0</v>
      </c>
      <c r="G18" s="7">
        <f t="shared" si="1"/>
        <v>5586</v>
      </c>
      <c r="H18" s="7">
        <f t="shared" si="1"/>
        <v>2431</v>
      </c>
      <c r="I18" s="7">
        <f t="shared" si="1"/>
        <v>4737</v>
      </c>
      <c r="J18" s="7">
        <f t="shared" si="1"/>
        <v>5866</v>
      </c>
      <c r="K18" s="7">
        <f t="shared" si="1"/>
        <v>728</v>
      </c>
      <c r="L18" s="7">
        <f>SUM(L3:L17)</f>
        <v>0</v>
      </c>
    </row>
    <row r="19" spans="2:17" ht="33" customHeight="1">
      <c r="B19" s="93" t="s">
        <v>206</v>
      </c>
      <c r="C19" s="94">
        <f>C18/12</f>
        <v>421.75</v>
      </c>
      <c r="D19" s="94">
        <f>D18/13</f>
        <v>439.53846153846155</v>
      </c>
      <c r="E19" s="94">
        <f>E18/14</f>
        <v>434.57142857142856</v>
      </c>
      <c r="F19" s="94">
        <f>F18/8</f>
        <v>0</v>
      </c>
      <c r="G19" s="94">
        <f>G18/13</f>
        <v>429.6923076923077</v>
      </c>
      <c r="H19" s="94">
        <f>H18/6</f>
        <v>405.1666666666667</v>
      </c>
      <c r="I19" s="94">
        <f>I18/11</f>
        <v>430.6363636363636</v>
      </c>
      <c r="J19" s="94">
        <f>J18/13</f>
        <v>451.2307692307692</v>
      </c>
      <c r="K19" s="94">
        <f>K18/2</f>
        <v>364</v>
      </c>
      <c r="L19" s="94"/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3:17" ht="15.75">
      <c r="C20" s="103" t="s">
        <v>39</v>
      </c>
      <c r="D20" s="103"/>
      <c r="M20" s="7">
        <f>SUM(M3:M17)</f>
        <v>36207</v>
      </c>
      <c r="N20" s="1">
        <f>SUM(N3:N17)+67</f>
        <v>138</v>
      </c>
      <c r="O20" s="1">
        <f>SUM(O3:O17)+45</f>
        <v>86</v>
      </c>
      <c r="P20" s="1">
        <f>SUM(P3:P17)</f>
        <v>712</v>
      </c>
      <c r="Q20" s="1">
        <f>SUM(Q3:Q17)+18</f>
        <v>39</v>
      </c>
    </row>
    <row r="21" spans="3:4" ht="15.75">
      <c r="C21" s="104" t="s">
        <v>160</v>
      </c>
      <c r="D21" s="104"/>
    </row>
    <row r="22" spans="3:15" ht="15.75">
      <c r="C22" s="105" t="s">
        <v>161</v>
      </c>
      <c r="D22" s="105"/>
      <c r="N22" s="106" t="s">
        <v>170</v>
      </c>
      <c r="O22" s="106"/>
    </row>
    <row r="23" spans="14:15" ht="15.75">
      <c r="N23" s="107">
        <f>N20-O20</f>
        <v>52</v>
      </c>
      <c r="O23" s="107"/>
    </row>
    <row r="24" spans="3:20" ht="15.75">
      <c r="C24" s="29" t="s">
        <v>162</v>
      </c>
      <c r="R24" s="2"/>
      <c r="S24" s="2"/>
      <c r="T24" s="2"/>
    </row>
    <row r="25" spans="2:20" ht="19.5" customHeight="1">
      <c r="B25" s="3" t="s">
        <v>163</v>
      </c>
      <c r="C25" s="3" t="s">
        <v>164</v>
      </c>
      <c r="D25" s="3" t="s">
        <v>165</v>
      </c>
      <c r="E25" s="3" t="s">
        <v>166</v>
      </c>
      <c r="F25" s="101" t="s">
        <v>135</v>
      </c>
      <c r="G25" s="101"/>
      <c r="H25" s="101" t="s">
        <v>182</v>
      </c>
      <c r="I25" s="101"/>
      <c r="J25" s="102" t="s">
        <v>136</v>
      </c>
      <c r="K25" s="102"/>
      <c r="R25" s="2"/>
      <c r="S25" s="2"/>
      <c r="T25" s="2"/>
    </row>
    <row r="26" spans="2:20" ht="15.75">
      <c r="B26" s="1" t="s">
        <v>187</v>
      </c>
      <c r="C26" s="1">
        <v>9</v>
      </c>
      <c r="E26" s="1">
        <v>5</v>
      </c>
      <c r="F26" s="1">
        <v>67</v>
      </c>
      <c r="G26" s="1">
        <v>45</v>
      </c>
      <c r="H26" s="109">
        <v>2569</v>
      </c>
      <c r="I26" s="109"/>
      <c r="J26" s="109">
        <v>18</v>
      </c>
      <c r="K26" s="109"/>
      <c r="R26" s="2"/>
      <c r="S26" s="2"/>
      <c r="T26" s="2"/>
    </row>
    <row r="27" spans="3:20" ht="15.75">
      <c r="C27" s="29" t="s">
        <v>167</v>
      </c>
      <c r="M27" s="101" t="s">
        <v>182</v>
      </c>
      <c r="N27" s="101"/>
      <c r="O27" s="7">
        <f>AVERAGE(M3,M4,M5,M6,M7,M9,M8,M11,M12,M14,M15,M13,M16,M17)</f>
        <v>2586.214285714286</v>
      </c>
      <c r="R27" s="2"/>
      <c r="S27" s="2"/>
      <c r="T27" s="2"/>
    </row>
    <row r="28" spans="3:20" ht="34.5" customHeight="1">
      <c r="C28" s="3" t="s">
        <v>164</v>
      </c>
      <c r="D28" s="3" t="s">
        <v>165</v>
      </c>
      <c r="E28" s="3" t="s">
        <v>166</v>
      </c>
      <c r="F28" s="101" t="s">
        <v>135</v>
      </c>
      <c r="G28" s="101"/>
      <c r="H28" s="101" t="s">
        <v>24</v>
      </c>
      <c r="I28" s="101"/>
      <c r="J28" s="102" t="s">
        <v>168</v>
      </c>
      <c r="K28" s="102"/>
      <c r="R28" s="2"/>
      <c r="S28" s="2"/>
      <c r="T28" s="2"/>
    </row>
    <row r="29" spans="3:20" ht="15.75">
      <c r="C29" s="1">
        <v>6</v>
      </c>
      <c r="E29" s="1">
        <v>1</v>
      </c>
      <c r="F29" s="1">
        <f>N4+N6+N8+N12+N13+N15+N17</f>
        <v>39</v>
      </c>
      <c r="G29" s="1">
        <f>O4+O6+O8+O12+O13+O15+O17</f>
        <v>17</v>
      </c>
      <c r="H29" s="108">
        <f>M4+M6+M8+M12+M13+M15+M17</f>
        <v>18298</v>
      </c>
      <c r="I29" s="109"/>
      <c r="J29" s="109">
        <f>Q4+Q6+Q8+Q12+Q13+Q15+Q17</f>
        <v>12</v>
      </c>
      <c r="K29" s="109"/>
      <c r="R29" s="2"/>
      <c r="S29" s="2"/>
      <c r="T29" s="2"/>
    </row>
    <row r="30" spans="3:20" ht="15.75">
      <c r="C30" s="29" t="s">
        <v>169</v>
      </c>
      <c r="R30" s="2"/>
      <c r="S30" s="2"/>
      <c r="T30" s="2"/>
    </row>
    <row r="31" spans="3:20" ht="29.25" customHeight="1">
      <c r="C31" s="3" t="s">
        <v>164</v>
      </c>
      <c r="D31" s="3" t="s">
        <v>165</v>
      </c>
      <c r="E31" s="3" t="s">
        <v>166</v>
      </c>
      <c r="F31" s="101" t="s">
        <v>135</v>
      </c>
      <c r="G31" s="101"/>
      <c r="H31" s="101" t="s">
        <v>24</v>
      </c>
      <c r="I31" s="101"/>
      <c r="J31" s="102" t="s">
        <v>168</v>
      </c>
      <c r="K31" s="102"/>
      <c r="R31" s="2"/>
      <c r="S31" s="2"/>
      <c r="T31" s="2"/>
    </row>
    <row r="32" spans="3:20" ht="15.75">
      <c r="C32" s="1">
        <v>4</v>
      </c>
      <c r="D32" s="1">
        <v>1</v>
      </c>
      <c r="E32" s="1">
        <v>2</v>
      </c>
      <c r="F32" s="7">
        <f>N3+N5+N7+N9+N11+N14+N16</f>
        <v>32</v>
      </c>
      <c r="G32" s="7">
        <f>O3+O5+O7+O9+O11+O14+O16</f>
        <v>24</v>
      </c>
      <c r="H32" s="108">
        <f>M3+M5+M7+M9+M11+M14+M16</f>
        <v>17909</v>
      </c>
      <c r="I32" s="109"/>
      <c r="J32" s="108">
        <f>Q3+Q5+Q7+Q9+Q11+Q14+Q16</f>
        <v>9</v>
      </c>
      <c r="K32" s="109"/>
      <c r="R32" s="2"/>
      <c r="S32" s="2"/>
      <c r="T32" s="2"/>
    </row>
  </sheetData>
  <mergeCells count="24">
    <mergeCell ref="M27:N27"/>
    <mergeCell ref="N1:O1"/>
    <mergeCell ref="N19:O19"/>
    <mergeCell ref="C22:D22"/>
    <mergeCell ref="F25:G25"/>
    <mergeCell ref="H25:I25"/>
    <mergeCell ref="C1:L1"/>
    <mergeCell ref="N22:O22"/>
    <mergeCell ref="N23:O23"/>
    <mergeCell ref="H26:I26"/>
    <mergeCell ref="J26:K26"/>
    <mergeCell ref="F28:G28"/>
    <mergeCell ref="H28:I28"/>
    <mergeCell ref="J28:K28"/>
    <mergeCell ref="H32:I32"/>
    <mergeCell ref="J32:K32"/>
    <mergeCell ref="C20:D20"/>
    <mergeCell ref="C21:D21"/>
    <mergeCell ref="H29:I29"/>
    <mergeCell ref="J29:K29"/>
    <mergeCell ref="F31:G31"/>
    <mergeCell ref="H31:I31"/>
    <mergeCell ref="J31:K31"/>
    <mergeCell ref="J25:K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0" sqref="J20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2.00390625" style="1" customWidth="1"/>
    <col min="4" max="4" width="10.75390625" style="1" customWidth="1"/>
    <col min="5" max="11" width="9.125" style="1" customWidth="1"/>
    <col min="12" max="12" width="15.875" style="1" bestFit="1" customWidth="1"/>
    <col min="13" max="13" width="9.125" style="1" customWidth="1"/>
    <col min="14" max="14" width="14.875" style="1" bestFit="1" customWidth="1"/>
    <col min="15" max="15" width="13.625" style="1" bestFit="1" customWidth="1"/>
    <col min="16" max="16" width="13.125" style="1" customWidth="1"/>
    <col min="17" max="17" width="13.375" style="1" customWidth="1"/>
    <col min="18" max="18" width="11.875" style="1" customWidth="1"/>
  </cols>
  <sheetData>
    <row r="1" spans="3:21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3"/>
      <c r="M1" s="101" t="s">
        <v>22</v>
      </c>
      <c r="N1" s="101"/>
      <c r="S1" s="2"/>
      <c r="T1" s="2"/>
      <c r="U1" s="2"/>
    </row>
    <row r="2" spans="2:18" ht="32.25" thickBot="1">
      <c r="B2" s="3" t="s">
        <v>15</v>
      </c>
      <c r="C2" s="11" t="s">
        <v>132</v>
      </c>
      <c r="D2" s="11" t="s">
        <v>50</v>
      </c>
      <c r="E2" s="11" t="s">
        <v>51</v>
      </c>
      <c r="F2" s="11" t="s">
        <v>52</v>
      </c>
      <c r="G2" s="11" t="s">
        <v>53</v>
      </c>
      <c r="H2" s="11" t="s">
        <v>110</v>
      </c>
      <c r="I2" s="11" t="s">
        <v>203</v>
      </c>
      <c r="J2" s="11" t="s">
        <v>111</v>
      </c>
      <c r="K2" s="11" t="s">
        <v>194</v>
      </c>
      <c r="L2" s="3" t="s">
        <v>24</v>
      </c>
      <c r="M2" s="3" t="s">
        <v>2</v>
      </c>
      <c r="N2" s="3" t="s">
        <v>23</v>
      </c>
      <c r="O2" s="3" t="s">
        <v>25</v>
      </c>
      <c r="P2" s="13" t="s">
        <v>134</v>
      </c>
      <c r="Q2"/>
      <c r="R2"/>
    </row>
    <row r="3" spans="1:16" s="38" customFormat="1" ht="15.75">
      <c r="A3" s="19" t="s">
        <v>145</v>
      </c>
      <c r="B3" s="17" t="s">
        <v>11</v>
      </c>
      <c r="C3" s="67">
        <v>444</v>
      </c>
      <c r="D3" s="19">
        <v>421</v>
      </c>
      <c r="E3" s="19">
        <v>419</v>
      </c>
      <c r="F3" s="67">
        <v>432</v>
      </c>
      <c r="G3" s="19">
        <v>417</v>
      </c>
      <c r="H3" s="67">
        <v>437</v>
      </c>
      <c r="I3" s="19"/>
      <c r="J3" s="19"/>
      <c r="K3" s="45"/>
      <c r="L3" s="28">
        <f aca="true" t="shared" si="0" ref="L3:L17">SUM(C3:K3)</f>
        <v>2570</v>
      </c>
      <c r="M3" s="17">
        <v>3</v>
      </c>
      <c r="N3" s="17">
        <v>5</v>
      </c>
      <c r="O3" s="17">
        <v>-52</v>
      </c>
      <c r="P3" s="17">
        <v>0</v>
      </c>
    </row>
    <row r="4" spans="1:16" s="36" customFormat="1" ht="15.75">
      <c r="A4" s="18" t="s">
        <v>146</v>
      </c>
      <c r="B4" s="21" t="s">
        <v>5</v>
      </c>
      <c r="C4" s="70">
        <v>453</v>
      </c>
      <c r="D4" s="18">
        <v>408</v>
      </c>
      <c r="E4" s="18">
        <v>391</v>
      </c>
      <c r="F4" s="18"/>
      <c r="G4" s="70">
        <v>424</v>
      </c>
      <c r="H4" s="18">
        <v>414</v>
      </c>
      <c r="I4" s="18"/>
      <c r="J4" s="18"/>
      <c r="K4" s="34">
        <v>248</v>
      </c>
      <c r="L4" s="23">
        <f t="shared" si="0"/>
        <v>2338</v>
      </c>
      <c r="M4" s="21">
        <v>2</v>
      </c>
      <c r="N4" s="21">
        <v>6</v>
      </c>
      <c r="O4" s="21">
        <v>-250</v>
      </c>
      <c r="P4" s="21">
        <v>0</v>
      </c>
    </row>
    <row r="5" spans="1:16" s="38" customFormat="1" ht="15.75">
      <c r="A5" s="17" t="s">
        <v>147</v>
      </c>
      <c r="B5" s="17" t="s">
        <v>10</v>
      </c>
      <c r="C5" s="67">
        <v>411</v>
      </c>
      <c r="D5" s="67">
        <v>413</v>
      </c>
      <c r="E5" s="67">
        <v>420</v>
      </c>
      <c r="F5" s="19">
        <v>392</v>
      </c>
      <c r="G5" s="67">
        <v>442</v>
      </c>
      <c r="H5" s="19">
        <v>399</v>
      </c>
      <c r="I5" s="19"/>
      <c r="J5" s="19"/>
      <c r="K5" s="45"/>
      <c r="L5" s="28">
        <f t="shared" si="0"/>
        <v>2477</v>
      </c>
      <c r="M5" s="17">
        <v>6</v>
      </c>
      <c r="N5" s="17">
        <v>2</v>
      </c>
      <c r="O5" s="17">
        <v>100</v>
      </c>
      <c r="P5" s="17">
        <v>2</v>
      </c>
    </row>
    <row r="6" spans="1:16" s="36" customFormat="1" ht="15.75">
      <c r="A6" s="21" t="s">
        <v>148</v>
      </c>
      <c r="B6" s="21" t="s">
        <v>4</v>
      </c>
      <c r="C6" s="54">
        <v>395</v>
      </c>
      <c r="D6" s="88">
        <v>425</v>
      </c>
      <c r="E6" s="88">
        <v>441</v>
      </c>
      <c r="F6" s="88">
        <v>428</v>
      </c>
      <c r="G6" s="88">
        <v>405</v>
      </c>
      <c r="H6" s="54"/>
      <c r="I6" s="54"/>
      <c r="J6" s="54">
        <v>343</v>
      </c>
      <c r="K6" s="34"/>
      <c r="L6" s="23">
        <f t="shared" si="0"/>
        <v>2437</v>
      </c>
      <c r="M6" s="21">
        <v>6</v>
      </c>
      <c r="N6" s="21">
        <v>2</v>
      </c>
      <c r="O6" s="21">
        <v>54</v>
      </c>
      <c r="P6" s="21">
        <v>2</v>
      </c>
    </row>
    <row r="7" spans="1:18" ht="15.75">
      <c r="A7" s="1" t="s">
        <v>149</v>
      </c>
      <c r="B7" s="1" t="s">
        <v>9</v>
      </c>
      <c r="C7" s="15"/>
      <c r="D7" s="30"/>
      <c r="E7" s="30"/>
      <c r="F7" s="30"/>
      <c r="G7" s="30"/>
      <c r="H7" s="30"/>
      <c r="I7" s="30"/>
      <c r="J7" s="30"/>
      <c r="K7" s="31"/>
      <c r="L7" s="7">
        <f t="shared" si="0"/>
        <v>0</v>
      </c>
      <c r="Q7"/>
      <c r="R7"/>
    </row>
    <row r="8" spans="1:16" s="36" customFormat="1" ht="15.75">
      <c r="A8" s="21" t="s">
        <v>150</v>
      </c>
      <c r="B8" s="21" t="s">
        <v>3</v>
      </c>
      <c r="C8" s="21">
        <v>395</v>
      </c>
      <c r="D8" s="70">
        <v>429</v>
      </c>
      <c r="E8" s="70">
        <v>444</v>
      </c>
      <c r="F8" s="70">
        <v>442</v>
      </c>
      <c r="G8" s="70">
        <v>446</v>
      </c>
      <c r="H8" s="70">
        <v>449</v>
      </c>
      <c r="I8" s="18"/>
      <c r="J8" s="18"/>
      <c r="K8" s="34"/>
      <c r="L8" s="23">
        <f t="shared" si="0"/>
        <v>2605</v>
      </c>
      <c r="M8" s="21">
        <v>7</v>
      </c>
      <c r="N8" s="21">
        <v>1</v>
      </c>
      <c r="O8" s="21">
        <v>202</v>
      </c>
      <c r="P8" s="21">
        <v>2</v>
      </c>
    </row>
    <row r="9" spans="1:16" s="36" customFormat="1" ht="15.75">
      <c r="A9" s="21" t="s">
        <v>151</v>
      </c>
      <c r="B9" s="21" t="s">
        <v>8</v>
      </c>
      <c r="C9" s="70">
        <v>431</v>
      </c>
      <c r="D9" s="70">
        <v>431</v>
      </c>
      <c r="E9" s="70">
        <v>419</v>
      </c>
      <c r="F9" s="18">
        <v>399</v>
      </c>
      <c r="G9" s="18">
        <v>411</v>
      </c>
      <c r="H9" s="70">
        <v>421</v>
      </c>
      <c r="I9" s="18"/>
      <c r="J9" s="18"/>
      <c r="K9" s="34"/>
      <c r="L9" s="23">
        <f t="shared" si="0"/>
        <v>2512</v>
      </c>
      <c r="M9" s="21">
        <v>4</v>
      </c>
      <c r="N9" s="21">
        <v>4</v>
      </c>
      <c r="O9" s="21">
        <v>-16</v>
      </c>
      <c r="P9" s="21">
        <v>1</v>
      </c>
    </row>
    <row r="10" spans="1:16" s="38" customFormat="1" ht="15.75">
      <c r="A10" s="17" t="s">
        <v>152</v>
      </c>
      <c r="B10" s="17" t="s">
        <v>16</v>
      </c>
      <c r="C10" s="67">
        <v>451</v>
      </c>
      <c r="D10" s="17">
        <v>417</v>
      </c>
      <c r="E10" s="17">
        <v>429</v>
      </c>
      <c r="F10" s="67">
        <v>450</v>
      </c>
      <c r="G10" s="17">
        <v>404</v>
      </c>
      <c r="H10" s="17"/>
      <c r="I10" s="17">
        <v>375</v>
      </c>
      <c r="K10" s="27"/>
      <c r="L10" s="28">
        <f t="shared" si="0"/>
        <v>2526</v>
      </c>
      <c r="M10" s="17">
        <v>2</v>
      </c>
      <c r="N10" s="17">
        <v>6</v>
      </c>
      <c r="O10" s="17">
        <v>-150</v>
      </c>
      <c r="P10" s="17">
        <v>0</v>
      </c>
    </row>
    <row r="11" spans="1:16" s="36" customFormat="1" ht="15.75">
      <c r="A11" s="21" t="s">
        <v>153</v>
      </c>
      <c r="B11" s="21" t="s">
        <v>0</v>
      </c>
      <c r="C11" s="21">
        <v>367</v>
      </c>
      <c r="D11" s="21">
        <v>421</v>
      </c>
      <c r="E11" s="70">
        <v>435</v>
      </c>
      <c r="F11" s="21">
        <v>424</v>
      </c>
      <c r="G11" s="70">
        <v>474</v>
      </c>
      <c r="H11" s="21">
        <v>407</v>
      </c>
      <c r="I11" s="21"/>
      <c r="J11" s="21"/>
      <c r="K11" s="22"/>
      <c r="L11" s="23">
        <f t="shared" si="0"/>
        <v>2528</v>
      </c>
      <c r="M11" s="21">
        <v>2</v>
      </c>
      <c r="N11" s="21">
        <v>6</v>
      </c>
      <c r="O11" s="23">
        <f>L11-2638</f>
        <v>-110</v>
      </c>
      <c r="P11" s="21">
        <v>0</v>
      </c>
    </row>
    <row r="12" spans="1:16" s="38" customFormat="1" ht="15.75">
      <c r="A12" s="17" t="s">
        <v>154</v>
      </c>
      <c r="B12" s="17" t="s">
        <v>14</v>
      </c>
      <c r="C12" s="17">
        <v>408</v>
      </c>
      <c r="D12" s="17">
        <v>396</v>
      </c>
      <c r="E12" s="67">
        <v>425</v>
      </c>
      <c r="F12" s="17">
        <v>410</v>
      </c>
      <c r="G12" s="17">
        <v>388</v>
      </c>
      <c r="H12" s="67">
        <v>455</v>
      </c>
      <c r="I12" s="17"/>
      <c r="J12" s="17"/>
      <c r="K12" s="27"/>
      <c r="L12" s="28">
        <f t="shared" si="0"/>
        <v>2482</v>
      </c>
      <c r="M12" s="17">
        <v>2</v>
      </c>
      <c r="N12" s="17">
        <v>6</v>
      </c>
      <c r="O12" s="17">
        <v>34</v>
      </c>
      <c r="P12" s="17">
        <v>0</v>
      </c>
    </row>
    <row r="13" spans="1:16" s="36" customFormat="1" ht="15.75">
      <c r="A13" s="21" t="s">
        <v>155</v>
      </c>
      <c r="B13" s="21" t="s">
        <v>1</v>
      </c>
      <c r="C13" s="21">
        <v>411</v>
      </c>
      <c r="D13" s="21">
        <v>410</v>
      </c>
      <c r="E13" s="70">
        <v>456</v>
      </c>
      <c r="F13" s="21">
        <v>420</v>
      </c>
      <c r="G13" s="70">
        <v>442</v>
      </c>
      <c r="H13" s="21">
        <v>425</v>
      </c>
      <c r="I13" s="21"/>
      <c r="J13" s="21"/>
      <c r="K13" s="22"/>
      <c r="L13" s="23">
        <f t="shared" si="0"/>
        <v>2564</v>
      </c>
      <c r="M13" s="21">
        <v>2</v>
      </c>
      <c r="N13" s="21">
        <v>6</v>
      </c>
      <c r="O13" s="21">
        <v>-41</v>
      </c>
      <c r="P13" s="21">
        <v>0</v>
      </c>
    </row>
    <row r="14" spans="1:16" s="38" customFormat="1" ht="15.75">
      <c r="A14" s="17" t="s">
        <v>156</v>
      </c>
      <c r="B14" s="17" t="s">
        <v>13</v>
      </c>
      <c r="C14" s="67">
        <v>448</v>
      </c>
      <c r="D14" s="67">
        <v>446</v>
      </c>
      <c r="E14" s="17">
        <v>405</v>
      </c>
      <c r="F14" s="17">
        <v>377</v>
      </c>
      <c r="G14" s="17">
        <v>419</v>
      </c>
      <c r="H14" s="17">
        <v>412</v>
      </c>
      <c r="I14" s="17"/>
      <c r="J14" s="17"/>
      <c r="K14" s="27"/>
      <c r="L14" s="28">
        <f t="shared" si="0"/>
        <v>2507</v>
      </c>
      <c r="M14" s="17">
        <v>2</v>
      </c>
      <c r="N14" s="17">
        <v>6</v>
      </c>
      <c r="O14" s="17">
        <v>-169</v>
      </c>
      <c r="P14" s="17">
        <v>0</v>
      </c>
    </row>
    <row r="15" spans="1:16" s="36" customFormat="1" ht="15.75">
      <c r="A15" s="21" t="s">
        <v>157</v>
      </c>
      <c r="B15" s="21" t="s">
        <v>18</v>
      </c>
      <c r="C15" s="21">
        <v>382</v>
      </c>
      <c r="D15" s="70">
        <v>441</v>
      </c>
      <c r="E15" s="70">
        <v>418</v>
      </c>
      <c r="F15" s="21">
        <v>365</v>
      </c>
      <c r="G15" s="70">
        <v>454</v>
      </c>
      <c r="H15" s="21">
        <v>395</v>
      </c>
      <c r="I15" s="21"/>
      <c r="J15" s="21"/>
      <c r="K15" s="22"/>
      <c r="L15" s="23">
        <f t="shared" si="0"/>
        <v>2455</v>
      </c>
      <c r="M15" s="21">
        <v>3</v>
      </c>
      <c r="N15" s="21">
        <v>5</v>
      </c>
      <c r="O15" s="21">
        <v>-4</v>
      </c>
      <c r="P15" s="21">
        <v>0</v>
      </c>
    </row>
    <row r="16" spans="1:16" s="38" customFormat="1" ht="15.75">
      <c r="A16" s="17" t="s">
        <v>158</v>
      </c>
      <c r="B16" s="17" t="s">
        <v>12</v>
      </c>
      <c r="C16" s="17"/>
      <c r="D16" s="17">
        <v>414</v>
      </c>
      <c r="E16" s="67">
        <v>446</v>
      </c>
      <c r="F16" s="17">
        <v>414</v>
      </c>
      <c r="G16" s="67">
        <v>418</v>
      </c>
      <c r="H16" s="17">
        <v>392</v>
      </c>
      <c r="I16" s="17"/>
      <c r="J16" s="17">
        <v>390</v>
      </c>
      <c r="K16" s="27"/>
      <c r="L16" s="28">
        <f t="shared" si="0"/>
        <v>2474</v>
      </c>
      <c r="M16" s="17">
        <v>2</v>
      </c>
      <c r="N16" s="17">
        <v>6</v>
      </c>
      <c r="O16" s="17">
        <v>-111</v>
      </c>
      <c r="P16" s="17">
        <v>0</v>
      </c>
    </row>
    <row r="17" spans="1:16" s="36" customFormat="1" ht="16.5" thickBot="1">
      <c r="A17" s="18" t="s">
        <v>159</v>
      </c>
      <c r="B17" s="21" t="s">
        <v>6</v>
      </c>
      <c r="C17" s="99">
        <v>424</v>
      </c>
      <c r="D17" s="99">
        <v>424</v>
      </c>
      <c r="E17" s="99">
        <v>466</v>
      </c>
      <c r="F17" s="24">
        <v>406</v>
      </c>
      <c r="G17" s="99">
        <v>421</v>
      </c>
      <c r="H17" s="24">
        <v>409</v>
      </c>
      <c r="I17" s="24"/>
      <c r="J17" s="24"/>
      <c r="K17" s="25"/>
      <c r="L17" s="26">
        <f t="shared" si="0"/>
        <v>2550</v>
      </c>
      <c r="M17" s="24">
        <v>6</v>
      </c>
      <c r="N17" s="24">
        <v>2</v>
      </c>
      <c r="O17" s="24">
        <v>104</v>
      </c>
      <c r="P17" s="24">
        <v>2</v>
      </c>
    </row>
    <row r="18" spans="3:18" ht="16.5" thickTop="1">
      <c r="C18" s="7">
        <f>SUM(C3:C17)</f>
        <v>5420</v>
      </c>
      <c r="D18" s="7">
        <f aca="true" t="shared" si="1" ref="D18:K18">SUM(D3:D17)</f>
        <v>5896</v>
      </c>
      <c r="E18" s="7">
        <f t="shared" si="1"/>
        <v>6014</v>
      </c>
      <c r="F18" s="7">
        <f t="shared" si="1"/>
        <v>5359</v>
      </c>
      <c r="G18" s="7">
        <f t="shared" si="1"/>
        <v>5965</v>
      </c>
      <c r="H18" s="7">
        <f t="shared" si="1"/>
        <v>5015</v>
      </c>
      <c r="I18" s="7">
        <f t="shared" si="1"/>
        <v>375</v>
      </c>
      <c r="J18" s="7">
        <f t="shared" si="1"/>
        <v>733</v>
      </c>
      <c r="K18" s="7">
        <f t="shared" si="1"/>
        <v>248</v>
      </c>
      <c r="Q18"/>
      <c r="R18"/>
    </row>
    <row r="19" spans="2:16" ht="33" customHeight="1">
      <c r="B19" s="93" t="s">
        <v>206</v>
      </c>
      <c r="C19" s="94">
        <f>C18/13</f>
        <v>416.9230769230769</v>
      </c>
      <c r="D19" s="94">
        <f>D18/14</f>
        <v>421.14285714285717</v>
      </c>
      <c r="E19" s="94">
        <f>E18/14</f>
        <v>429.57142857142856</v>
      </c>
      <c r="F19" s="94">
        <f>F18/13</f>
        <v>412.2307692307692</v>
      </c>
      <c r="G19" s="94">
        <f>G18/14</f>
        <v>426.07142857142856</v>
      </c>
      <c r="H19" s="94">
        <f>H18/12</f>
        <v>417.9166666666667</v>
      </c>
      <c r="I19" s="94">
        <f>I18/1</f>
        <v>375</v>
      </c>
      <c r="J19" s="94">
        <f>J18/2</f>
        <v>366.5</v>
      </c>
      <c r="K19" s="94">
        <f>K18/1</f>
        <v>248</v>
      </c>
      <c r="L19" s="3" t="s">
        <v>24</v>
      </c>
      <c r="M19" s="101" t="s">
        <v>135</v>
      </c>
      <c r="N19" s="101"/>
      <c r="O19" s="3" t="s">
        <v>25</v>
      </c>
      <c r="P19" s="13" t="s">
        <v>136</v>
      </c>
    </row>
    <row r="20" spans="12:16" ht="15.75">
      <c r="L20" s="7">
        <f>SUM(L3:L17)</f>
        <v>35025</v>
      </c>
      <c r="M20" s="1">
        <f>SUM(M3:M17)+59</f>
        <v>108</v>
      </c>
      <c r="N20" s="1">
        <f>SUM(N3:N17)+53</f>
        <v>116</v>
      </c>
      <c r="O20" s="1">
        <f>SUM(O3:O17)</f>
        <v>-409</v>
      </c>
      <c r="P20" s="1">
        <f>SUM(P3:P17)+15</f>
        <v>24</v>
      </c>
    </row>
    <row r="21" spans="3:4" ht="15.75">
      <c r="C21" s="103" t="s">
        <v>39</v>
      </c>
      <c r="D21" s="103"/>
    </row>
    <row r="22" spans="3:14" ht="15.75">
      <c r="C22" s="104" t="s">
        <v>160</v>
      </c>
      <c r="D22" s="104"/>
      <c r="M22" s="106" t="s">
        <v>170</v>
      </c>
      <c r="N22" s="106"/>
    </row>
    <row r="23" spans="3:14" ht="15.75">
      <c r="C23" s="105" t="s">
        <v>161</v>
      </c>
      <c r="D23" s="105"/>
      <c r="M23" s="107">
        <f>M20-N20</f>
        <v>-8</v>
      </c>
      <c r="N23" s="107"/>
    </row>
    <row r="25" spans="3:21" ht="15.75">
      <c r="C25" s="29" t="s">
        <v>162</v>
      </c>
      <c r="S25" s="2"/>
      <c r="T25" s="2"/>
      <c r="U25" s="2"/>
    </row>
    <row r="26" spans="2:21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3"/>
      <c r="K26" s="102" t="s">
        <v>136</v>
      </c>
      <c r="L26" s="102"/>
      <c r="S26" s="2"/>
      <c r="T26" s="2"/>
      <c r="U26" s="2"/>
    </row>
    <row r="27" spans="2:21" ht="15.75">
      <c r="B27" s="1" t="s">
        <v>188</v>
      </c>
      <c r="C27" s="1">
        <v>7</v>
      </c>
      <c r="D27" s="1">
        <v>1</v>
      </c>
      <c r="E27" s="1">
        <v>6</v>
      </c>
      <c r="F27" s="1">
        <v>59</v>
      </c>
      <c r="G27" s="1">
        <v>53</v>
      </c>
      <c r="H27" s="109">
        <v>2512</v>
      </c>
      <c r="I27" s="109"/>
      <c r="K27" s="109">
        <v>15</v>
      </c>
      <c r="L27" s="109"/>
      <c r="N27" s="101" t="s">
        <v>182</v>
      </c>
      <c r="O27" s="101"/>
      <c r="P27" s="7">
        <f>AVERAGE(L3,L4,L5,L6,L8,L9,L10,L11,L12,L14,L15,L13,L16,L17)</f>
        <v>2501.785714285714</v>
      </c>
      <c r="S27" s="2"/>
      <c r="T27" s="2"/>
      <c r="U27" s="2"/>
    </row>
    <row r="28" spans="3:21" ht="15.75">
      <c r="C28" s="29" t="s">
        <v>167</v>
      </c>
      <c r="S28" s="2"/>
      <c r="T28" s="2"/>
      <c r="U28" s="2"/>
    </row>
    <row r="29" spans="3:21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3"/>
      <c r="K29" s="102" t="s">
        <v>168</v>
      </c>
      <c r="L29" s="102"/>
      <c r="S29" s="2"/>
      <c r="T29" s="2"/>
      <c r="U29" s="2"/>
    </row>
    <row r="30" spans="3:21" ht="15.75">
      <c r="C30" s="1">
        <v>1</v>
      </c>
      <c r="E30" s="1">
        <v>5</v>
      </c>
      <c r="F30" s="1">
        <f>M3+M5+M10+M12+M14+M16</f>
        <v>17</v>
      </c>
      <c r="G30" s="1">
        <f>N3+N5+N10+N12+N14+N16</f>
        <v>31</v>
      </c>
      <c r="H30" s="108">
        <f>L3+L5+L10+L12+L14+L16</f>
        <v>15036</v>
      </c>
      <c r="I30" s="109"/>
      <c r="K30" s="109">
        <f>P3+P5+P10+P12+P14+P16</f>
        <v>2</v>
      </c>
      <c r="L30" s="109"/>
      <c r="S30" s="2"/>
      <c r="T30" s="2"/>
      <c r="U30" s="2"/>
    </row>
    <row r="31" spans="3:21" ht="15.75">
      <c r="C31" s="29" t="s">
        <v>169</v>
      </c>
      <c r="S31" s="2"/>
      <c r="T31" s="2"/>
      <c r="U31" s="2"/>
    </row>
    <row r="32" spans="3:21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3"/>
      <c r="K32" s="102" t="s">
        <v>168</v>
      </c>
      <c r="L32" s="102"/>
      <c r="S32" s="2"/>
      <c r="T32" s="2"/>
      <c r="U32" s="2"/>
    </row>
    <row r="33" spans="3:21" ht="15.75">
      <c r="C33" s="1">
        <v>3</v>
      </c>
      <c r="D33" s="1">
        <v>1</v>
      </c>
      <c r="E33" s="1">
        <v>4</v>
      </c>
      <c r="F33" s="7">
        <f>M4+M6+M8+M9+M11+M13+M15+M17</f>
        <v>32</v>
      </c>
      <c r="G33" s="7">
        <f>N4+N6+N8+N9+N11+N13+N15+N17</f>
        <v>32</v>
      </c>
      <c r="H33" s="108">
        <f>L4+L6+L8+L9+L11+L13+L15+L17</f>
        <v>19989</v>
      </c>
      <c r="I33" s="109"/>
      <c r="K33" s="108">
        <f>P4+P6+P8+P9+P11+P13+P15+P17</f>
        <v>7</v>
      </c>
      <c r="L33" s="109"/>
      <c r="S33" s="2"/>
      <c r="T33" s="2"/>
      <c r="U33" s="2"/>
    </row>
  </sheetData>
  <mergeCells count="24">
    <mergeCell ref="M1:N1"/>
    <mergeCell ref="C21:D21"/>
    <mergeCell ref="M19:N19"/>
    <mergeCell ref="C1:K1"/>
    <mergeCell ref="C22:D22"/>
    <mergeCell ref="C23:D23"/>
    <mergeCell ref="F26:G26"/>
    <mergeCell ref="H26:I26"/>
    <mergeCell ref="F32:G32"/>
    <mergeCell ref="H32:I32"/>
    <mergeCell ref="K32:L32"/>
    <mergeCell ref="K26:L26"/>
    <mergeCell ref="H27:I27"/>
    <mergeCell ref="K27:L27"/>
    <mergeCell ref="F29:G29"/>
    <mergeCell ref="H29:I29"/>
    <mergeCell ref="K29:L29"/>
    <mergeCell ref="M22:N22"/>
    <mergeCell ref="M23:N23"/>
    <mergeCell ref="H33:I33"/>
    <mergeCell ref="K33:L33"/>
    <mergeCell ref="H30:I30"/>
    <mergeCell ref="K30:L30"/>
    <mergeCell ref="N27:O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9" width="9.125" style="1" customWidth="1"/>
    <col min="10" max="10" width="10.25390625" style="1" customWidth="1"/>
    <col min="11" max="12" width="9.125" style="1" customWidth="1"/>
    <col min="13" max="13" width="14.8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2:17" ht="32.25" thickBot="1">
      <c r="B2" s="3" t="s">
        <v>15</v>
      </c>
      <c r="C2" s="11" t="s">
        <v>78</v>
      </c>
      <c r="D2" s="11" t="s">
        <v>79</v>
      </c>
      <c r="E2" s="11" t="s">
        <v>80</v>
      </c>
      <c r="F2" s="11" t="s">
        <v>81</v>
      </c>
      <c r="G2" s="11" t="s">
        <v>82</v>
      </c>
      <c r="H2" s="11" t="s">
        <v>83</v>
      </c>
      <c r="I2" s="11" t="s">
        <v>114</v>
      </c>
      <c r="J2" s="11" t="s">
        <v>115</v>
      </c>
      <c r="K2" s="11"/>
      <c r="L2" s="11"/>
      <c r="M2" s="3" t="s">
        <v>24</v>
      </c>
      <c r="N2" s="3" t="s">
        <v>12</v>
      </c>
      <c r="O2" s="3" t="s">
        <v>23</v>
      </c>
      <c r="P2" s="3" t="s">
        <v>25</v>
      </c>
      <c r="Q2" s="13" t="s">
        <v>134</v>
      </c>
    </row>
    <row r="3" spans="1:17" s="53" customFormat="1" ht="15.75">
      <c r="A3" s="19" t="s">
        <v>145</v>
      </c>
      <c r="B3" s="19" t="s">
        <v>10</v>
      </c>
      <c r="C3" s="67">
        <v>432</v>
      </c>
      <c r="D3" s="19">
        <v>399</v>
      </c>
      <c r="E3" s="67">
        <v>447</v>
      </c>
      <c r="F3" s="67">
        <v>409</v>
      </c>
      <c r="G3" s="19"/>
      <c r="H3" s="19"/>
      <c r="I3" s="67">
        <v>451</v>
      </c>
      <c r="J3" s="67">
        <v>432</v>
      </c>
      <c r="K3" s="19"/>
      <c r="L3" s="45"/>
      <c r="M3" s="52">
        <f aca="true" t="shared" si="0" ref="M3:M13">SUM(C3:L3)</f>
        <v>2570</v>
      </c>
      <c r="N3" s="19">
        <v>7</v>
      </c>
      <c r="O3" s="19">
        <v>1</v>
      </c>
      <c r="P3" s="19">
        <v>264</v>
      </c>
      <c r="Q3" s="19">
        <v>2</v>
      </c>
    </row>
    <row r="4" spans="1:13" ht="15.75">
      <c r="A4" s="18" t="s">
        <v>146</v>
      </c>
      <c r="B4" s="1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6"/>
      <c r="M4" s="7">
        <f t="shared" si="0"/>
        <v>0</v>
      </c>
    </row>
    <row r="5" spans="1:17" s="38" customFormat="1" ht="15.75">
      <c r="A5" s="17" t="s">
        <v>147</v>
      </c>
      <c r="B5" s="17" t="s">
        <v>8</v>
      </c>
      <c r="C5" s="89">
        <v>445</v>
      </c>
      <c r="D5" s="81"/>
      <c r="E5" s="81"/>
      <c r="F5" s="81">
        <v>399</v>
      </c>
      <c r="G5" s="89">
        <v>439</v>
      </c>
      <c r="H5" s="81">
        <v>420</v>
      </c>
      <c r="I5" s="89">
        <v>451</v>
      </c>
      <c r="J5" s="89">
        <v>435</v>
      </c>
      <c r="K5" s="81"/>
      <c r="L5" s="92"/>
      <c r="M5" s="28">
        <f t="shared" si="0"/>
        <v>2589</v>
      </c>
      <c r="N5" s="17">
        <v>6</v>
      </c>
      <c r="O5" s="17">
        <v>2</v>
      </c>
      <c r="P5" s="17">
        <v>71</v>
      </c>
      <c r="Q5" s="17">
        <v>2</v>
      </c>
    </row>
    <row r="6" spans="1:17" s="36" customFormat="1" ht="15.75">
      <c r="A6" s="21" t="s">
        <v>148</v>
      </c>
      <c r="B6" s="21" t="s">
        <v>0</v>
      </c>
      <c r="C6" s="21"/>
      <c r="D6" s="67">
        <v>423</v>
      </c>
      <c r="E6" s="19">
        <v>393</v>
      </c>
      <c r="F6" s="19">
        <v>404</v>
      </c>
      <c r="G6" s="19"/>
      <c r="H6" s="19">
        <v>408</v>
      </c>
      <c r="I6" s="19">
        <v>412</v>
      </c>
      <c r="J6" s="67">
        <v>439</v>
      </c>
      <c r="K6" s="21"/>
      <c r="L6" s="22"/>
      <c r="M6" s="23">
        <f t="shared" si="0"/>
        <v>2479</v>
      </c>
      <c r="N6" s="21">
        <v>2</v>
      </c>
      <c r="O6" s="21">
        <v>6</v>
      </c>
      <c r="P6" s="21">
        <v>-28</v>
      </c>
      <c r="Q6" s="21">
        <v>0</v>
      </c>
    </row>
    <row r="7" spans="1:17" s="38" customFormat="1" ht="15.75">
      <c r="A7" s="17" t="s">
        <v>149</v>
      </c>
      <c r="B7" s="17" t="s">
        <v>1</v>
      </c>
      <c r="C7" s="67">
        <v>442</v>
      </c>
      <c r="D7" s="19"/>
      <c r="E7" s="67">
        <v>429</v>
      </c>
      <c r="F7" s="19"/>
      <c r="G7" s="67">
        <v>424</v>
      </c>
      <c r="H7" s="67">
        <v>424</v>
      </c>
      <c r="I7" s="67">
        <v>430</v>
      </c>
      <c r="J7" s="19">
        <v>414</v>
      </c>
      <c r="K7" s="17"/>
      <c r="L7" s="27"/>
      <c r="M7" s="28">
        <f t="shared" si="0"/>
        <v>2563</v>
      </c>
      <c r="N7" s="17">
        <v>7</v>
      </c>
      <c r="O7" s="17">
        <v>1</v>
      </c>
      <c r="P7" s="17">
        <v>93</v>
      </c>
      <c r="Q7" s="17">
        <v>2</v>
      </c>
    </row>
    <row r="8" spans="1:17" s="36" customFormat="1" ht="15.75">
      <c r="A8" s="21" t="s">
        <v>150</v>
      </c>
      <c r="B8" s="21" t="s">
        <v>18</v>
      </c>
      <c r="C8" s="70">
        <v>454</v>
      </c>
      <c r="D8" s="21"/>
      <c r="E8" s="21"/>
      <c r="F8" s="21">
        <v>406</v>
      </c>
      <c r="G8" s="70">
        <v>456</v>
      </c>
      <c r="H8" s="21">
        <v>417</v>
      </c>
      <c r="I8" s="70">
        <v>446</v>
      </c>
      <c r="J8" s="21">
        <v>400</v>
      </c>
      <c r="K8" s="21"/>
      <c r="L8" s="22"/>
      <c r="M8" s="23">
        <f t="shared" si="0"/>
        <v>2579</v>
      </c>
      <c r="N8" s="21">
        <v>5</v>
      </c>
      <c r="O8" s="21">
        <v>3</v>
      </c>
      <c r="P8" s="21">
        <v>91</v>
      </c>
      <c r="Q8" s="21">
        <v>2</v>
      </c>
    </row>
    <row r="9" spans="1:17" s="38" customFormat="1" ht="15.75">
      <c r="A9" s="17" t="s">
        <v>151</v>
      </c>
      <c r="B9" s="17" t="s">
        <v>6</v>
      </c>
      <c r="C9" s="67">
        <v>450</v>
      </c>
      <c r="D9" s="17"/>
      <c r="E9" s="17">
        <v>416</v>
      </c>
      <c r="F9" s="17">
        <v>437</v>
      </c>
      <c r="G9" s="67">
        <v>450</v>
      </c>
      <c r="H9" s="67">
        <v>438</v>
      </c>
      <c r="I9" s="17"/>
      <c r="J9" s="67">
        <v>474</v>
      </c>
      <c r="K9" s="17"/>
      <c r="L9" s="27"/>
      <c r="M9" s="28">
        <f t="shared" si="0"/>
        <v>2665</v>
      </c>
      <c r="N9" s="17">
        <v>6</v>
      </c>
      <c r="O9" s="17">
        <v>2</v>
      </c>
      <c r="P9" s="17">
        <v>243</v>
      </c>
      <c r="Q9" s="17">
        <v>2</v>
      </c>
    </row>
    <row r="10" spans="1:17" s="36" customFormat="1" ht="15.75">
      <c r="A10" s="21" t="s">
        <v>152</v>
      </c>
      <c r="B10" s="21" t="s">
        <v>5</v>
      </c>
      <c r="C10" s="21">
        <v>438</v>
      </c>
      <c r="D10" s="21"/>
      <c r="E10" s="70">
        <v>454</v>
      </c>
      <c r="F10" s="21">
        <v>385</v>
      </c>
      <c r="G10" s="70">
        <v>451</v>
      </c>
      <c r="H10" s="21"/>
      <c r="I10" s="21">
        <v>380</v>
      </c>
      <c r="J10" s="21">
        <v>424</v>
      </c>
      <c r="K10" s="21"/>
      <c r="L10" s="22"/>
      <c r="M10" s="23">
        <f t="shared" si="0"/>
        <v>2532</v>
      </c>
      <c r="N10" s="21">
        <v>2</v>
      </c>
      <c r="O10" s="21">
        <v>6</v>
      </c>
      <c r="P10" s="21">
        <v>-179</v>
      </c>
      <c r="Q10" s="21">
        <v>0</v>
      </c>
    </row>
    <row r="11" spans="1:17" s="38" customFormat="1" ht="15.75">
      <c r="A11" s="17" t="s">
        <v>153</v>
      </c>
      <c r="B11" s="17" t="s">
        <v>4</v>
      </c>
      <c r="C11" s="17"/>
      <c r="D11" s="17">
        <v>404</v>
      </c>
      <c r="E11" s="67">
        <v>470</v>
      </c>
      <c r="F11" s="67">
        <v>437</v>
      </c>
      <c r="G11" s="17"/>
      <c r="H11" s="67">
        <v>435</v>
      </c>
      <c r="I11" s="17">
        <v>378</v>
      </c>
      <c r="J11" s="67">
        <v>426</v>
      </c>
      <c r="K11" s="17"/>
      <c r="L11" s="27"/>
      <c r="M11" s="28">
        <f t="shared" si="0"/>
        <v>2550</v>
      </c>
      <c r="N11" s="17">
        <v>6</v>
      </c>
      <c r="O11" s="17">
        <v>2</v>
      </c>
      <c r="P11" s="17">
        <v>230</v>
      </c>
      <c r="Q11" s="17">
        <v>2</v>
      </c>
    </row>
    <row r="12" spans="1:17" s="36" customFormat="1" ht="15.75">
      <c r="A12" s="21" t="s">
        <v>154</v>
      </c>
      <c r="B12" s="21" t="s">
        <v>3</v>
      </c>
      <c r="C12" s="70">
        <v>435</v>
      </c>
      <c r="D12" s="21"/>
      <c r="E12" s="70">
        <v>423</v>
      </c>
      <c r="F12" s="21">
        <v>410</v>
      </c>
      <c r="G12" s="70">
        <v>423</v>
      </c>
      <c r="H12" s="21">
        <v>399</v>
      </c>
      <c r="I12" s="21"/>
      <c r="J12" s="70">
        <v>451</v>
      </c>
      <c r="K12" s="21"/>
      <c r="L12" s="22"/>
      <c r="M12" s="23">
        <f t="shared" si="0"/>
        <v>2541</v>
      </c>
      <c r="N12" s="21">
        <v>6</v>
      </c>
      <c r="O12" s="21">
        <v>2</v>
      </c>
      <c r="P12" s="21">
        <v>71</v>
      </c>
      <c r="Q12" s="21">
        <v>2</v>
      </c>
    </row>
    <row r="13" spans="1:17" s="53" customFormat="1" ht="15.75">
      <c r="A13" s="17" t="s">
        <v>155</v>
      </c>
      <c r="B13" s="19" t="s">
        <v>16</v>
      </c>
      <c r="C13" s="19">
        <v>387</v>
      </c>
      <c r="D13" s="19"/>
      <c r="E13" s="67">
        <v>446</v>
      </c>
      <c r="F13" s="19"/>
      <c r="G13" s="67">
        <v>434</v>
      </c>
      <c r="H13" s="19">
        <v>396</v>
      </c>
      <c r="I13" s="67">
        <v>415</v>
      </c>
      <c r="J13" s="67">
        <v>444</v>
      </c>
      <c r="K13" s="19"/>
      <c r="L13" s="45"/>
      <c r="M13" s="52">
        <f t="shared" si="0"/>
        <v>2522</v>
      </c>
      <c r="N13" s="19">
        <v>6</v>
      </c>
      <c r="O13" s="19">
        <v>2</v>
      </c>
      <c r="P13" s="19">
        <v>80</v>
      </c>
      <c r="Q13" s="19">
        <v>2</v>
      </c>
    </row>
    <row r="14" spans="1:17" s="36" customFormat="1" ht="15.75">
      <c r="A14" s="21" t="s">
        <v>156</v>
      </c>
      <c r="B14" s="21" t="s">
        <v>14</v>
      </c>
      <c r="C14" s="70">
        <v>447</v>
      </c>
      <c r="D14" s="21"/>
      <c r="E14" s="21"/>
      <c r="F14" s="21">
        <v>422</v>
      </c>
      <c r="G14" s="70">
        <v>432</v>
      </c>
      <c r="H14" s="21">
        <v>403</v>
      </c>
      <c r="I14" s="21">
        <v>425</v>
      </c>
      <c r="J14" s="70">
        <v>453</v>
      </c>
      <c r="K14" s="21"/>
      <c r="L14" s="22"/>
      <c r="M14" s="23">
        <f>SUM(C14:L14)</f>
        <v>2582</v>
      </c>
      <c r="N14" s="21">
        <v>5</v>
      </c>
      <c r="O14" s="21">
        <v>3</v>
      </c>
      <c r="P14" s="21">
        <v>68</v>
      </c>
      <c r="Q14" s="21">
        <v>2</v>
      </c>
    </row>
    <row r="15" spans="1:17" s="38" customFormat="1" ht="15.75">
      <c r="A15" s="17" t="s">
        <v>157</v>
      </c>
      <c r="B15" s="17" t="s">
        <v>20</v>
      </c>
      <c r="C15" s="17">
        <v>189</v>
      </c>
      <c r="D15" s="17"/>
      <c r="E15" s="67">
        <v>442</v>
      </c>
      <c r="F15" s="17">
        <v>198</v>
      </c>
      <c r="G15" s="67">
        <v>445</v>
      </c>
      <c r="H15" s="17">
        <v>414</v>
      </c>
      <c r="I15" s="67">
        <v>441</v>
      </c>
      <c r="J15" s="17">
        <v>404</v>
      </c>
      <c r="K15" s="17"/>
      <c r="L15" s="27"/>
      <c r="M15" s="28">
        <f>SUM(C15:L15)</f>
        <v>2533</v>
      </c>
      <c r="N15" s="17">
        <v>3</v>
      </c>
      <c r="O15" s="17">
        <v>5</v>
      </c>
      <c r="P15" s="17">
        <v>-130</v>
      </c>
      <c r="Q15" s="17">
        <v>0</v>
      </c>
    </row>
    <row r="16" spans="1:17" s="36" customFormat="1" ht="15.75">
      <c r="A16" s="21" t="s">
        <v>158</v>
      </c>
      <c r="B16" s="21" t="s">
        <v>2</v>
      </c>
      <c r="C16" s="70">
        <v>440</v>
      </c>
      <c r="D16" s="21"/>
      <c r="E16" s="70">
        <v>460</v>
      </c>
      <c r="F16" s="21"/>
      <c r="G16" s="70">
        <v>464</v>
      </c>
      <c r="H16" s="21">
        <v>394</v>
      </c>
      <c r="I16" s="21">
        <v>410</v>
      </c>
      <c r="J16" s="70">
        <v>417</v>
      </c>
      <c r="K16" s="21"/>
      <c r="L16" s="22"/>
      <c r="M16" s="23">
        <f>SUM(C16:L16)</f>
        <v>2585</v>
      </c>
      <c r="N16" s="21">
        <v>6</v>
      </c>
      <c r="O16" s="21">
        <v>2</v>
      </c>
      <c r="P16" s="21">
        <v>111</v>
      </c>
      <c r="Q16" s="21">
        <v>2</v>
      </c>
    </row>
    <row r="17" spans="1:17" s="36" customFormat="1" ht="16.5" thickBot="1">
      <c r="A17" s="18" t="s">
        <v>159</v>
      </c>
      <c r="B17" s="21" t="s">
        <v>11</v>
      </c>
      <c r="C17" s="24">
        <v>426</v>
      </c>
      <c r="D17" s="24"/>
      <c r="E17" s="24">
        <v>437</v>
      </c>
      <c r="F17" s="24"/>
      <c r="G17" s="99">
        <v>472</v>
      </c>
      <c r="H17" s="24">
        <v>433</v>
      </c>
      <c r="I17" s="24">
        <v>438</v>
      </c>
      <c r="J17" s="99">
        <v>460</v>
      </c>
      <c r="K17" s="24"/>
      <c r="L17" s="25"/>
      <c r="M17" s="26">
        <f>SUM(C17:L17)</f>
        <v>2666</v>
      </c>
      <c r="N17" s="24">
        <v>4</v>
      </c>
      <c r="O17" s="24">
        <v>4</v>
      </c>
      <c r="P17" s="24">
        <v>14</v>
      </c>
      <c r="Q17" s="24">
        <v>1</v>
      </c>
    </row>
    <row r="18" spans="3:12" ht="16.5" thickTop="1">
      <c r="C18" s="7">
        <f aca="true" t="shared" si="1" ref="C18:L18">SUM(C3:C17)</f>
        <v>4985</v>
      </c>
      <c r="D18" s="7">
        <f t="shared" si="1"/>
        <v>1226</v>
      </c>
      <c r="E18" s="7">
        <f t="shared" si="1"/>
        <v>4817</v>
      </c>
      <c r="F18" s="7">
        <f t="shared" si="1"/>
        <v>3907</v>
      </c>
      <c r="G18" s="7">
        <f t="shared" si="1"/>
        <v>4890</v>
      </c>
      <c r="H18" s="7">
        <f t="shared" si="1"/>
        <v>4981</v>
      </c>
      <c r="I18" s="7">
        <f t="shared" si="1"/>
        <v>5077</v>
      </c>
      <c r="J18" s="7">
        <f t="shared" si="1"/>
        <v>6073</v>
      </c>
      <c r="K18" s="7">
        <f t="shared" si="1"/>
        <v>0</v>
      </c>
      <c r="L18" s="7">
        <f t="shared" si="1"/>
        <v>0</v>
      </c>
    </row>
    <row r="19" spans="2:17" ht="33.75" customHeight="1">
      <c r="B19" s="93" t="s">
        <v>206</v>
      </c>
      <c r="C19" s="94">
        <f>C18/11.5</f>
        <v>433.4782608695652</v>
      </c>
      <c r="D19" s="94">
        <f>D18/3</f>
        <v>408.6666666666667</v>
      </c>
      <c r="E19" s="94">
        <f>E18/11</f>
        <v>437.90909090909093</v>
      </c>
      <c r="F19" s="94">
        <f>F18/9.5</f>
        <v>411.2631578947368</v>
      </c>
      <c r="G19" s="94">
        <f>G18/11</f>
        <v>444.54545454545456</v>
      </c>
      <c r="H19" s="94">
        <f>H18/12</f>
        <v>415.0833333333333</v>
      </c>
      <c r="I19" s="94">
        <f>I18/12</f>
        <v>423.0833333333333</v>
      </c>
      <c r="J19" s="94">
        <f>J18/14</f>
        <v>433.7857142857143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13:17" ht="15.75">
      <c r="M20" s="7">
        <f>SUM(M3:M17)</f>
        <v>35956</v>
      </c>
      <c r="N20" s="1">
        <f>SUM(N3:N17)+75</f>
        <v>146</v>
      </c>
      <c r="O20" s="1">
        <f>SUM(O3:O17)+37</f>
        <v>78</v>
      </c>
      <c r="P20" s="1">
        <f>SUM(P3:P17)</f>
        <v>999</v>
      </c>
      <c r="Q20" s="1">
        <f>SUM(Q3:Q17)+24</f>
        <v>45</v>
      </c>
    </row>
    <row r="21" spans="3:4" ht="15.75">
      <c r="C21" s="103" t="s">
        <v>39</v>
      </c>
      <c r="D21" s="103"/>
    </row>
    <row r="22" spans="3:15" ht="15.75">
      <c r="C22" s="104" t="s">
        <v>160</v>
      </c>
      <c r="D22" s="104"/>
      <c r="N22" s="106" t="s">
        <v>170</v>
      </c>
      <c r="O22" s="106"/>
    </row>
    <row r="23" spans="3:15" ht="15.75">
      <c r="C23" s="105" t="s">
        <v>161</v>
      </c>
      <c r="D23" s="105"/>
      <c r="N23" s="107">
        <f>N20-O20</f>
        <v>68</v>
      </c>
      <c r="O23" s="107"/>
    </row>
    <row r="25" spans="3:20" ht="15.75">
      <c r="C25" s="29" t="s">
        <v>162</v>
      </c>
      <c r="R25" s="2"/>
      <c r="S25" s="2"/>
      <c r="T25" s="2"/>
    </row>
    <row r="26" spans="2:20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R26" s="2"/>
      <c r="S26" s="2"/>
      <c r="T26" s="2"/>
    </row>
    <row r="27" spans="2:20" ht="15.75">
      <c r="B27" s="1" t="s">
        <v>184</v>
      </c>
      <c r="C27" s="1">
        <v>11</v>
      </c>
      <c r="D27" s="1">
        <v>2</v>
      </c>
      <c r="E27" s="1">
        <v>1</v>
      </c>
      <c r="F27" s="1">
        <v>75</v>
      </c>
      <c r="G27" s="1">
        <v>37</v>
      </c>
      <c r="H27" s="109">
        <v>2598</v>
      </c>
      <c r="I27" s="109"/>
      <c r="J27" s="109">
        <v>24</v>
      </c>
      <c r="K27" s="109"/>
      <c r="M27" s="101" t="s">
        <v>182</v>
      </c>
      <c r="N27" s="101"/>
      <c r="O27" s="7">
        <f>AVERAGE(M3,M8,M5,M6,M7,M9,M10,M11,M12,M14,M15,M16,M17,M13)</f>
        <v>2568.285714285714</v>
      </c>
      <c r="R27" s="2"/>
      <c r="S27" s="2"/>
      <c r="T27" s="2"/>
    </row>
    <row r="28" spans="3:20" ht="15.75">
      <c r="C28" s="29" t="s">
        <v>167</v>
      </c>
      <c r="R28" s="2"/>
      <c r="S28" s="2"/>
      <c r="T28" s="2"/>
    </row>
    <row r="29" spans="3:20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R29" s="2"/>
      <c r="S29" s="2"/>
      <c r="T29" s="2"/>
    </row>
    <row r="30" spans="3:20" ht="15.75">
      <c r="C30" s="1">
        <v>6</v>
      </c>
      <c r="E30" s="1">
        <v>1</v>
      </c>
      <c r="F30" s="1">
        <f>N3+N5+N7+N9+N11+N13+N15</f>
        <v>41</v>
      </c>
      <c r="G30" s="1">
        <f>O3+O5+O7+O9+O11+O13+O15</f>
        <v>15</v>
      </c>
      <c r="H30" s="108">
        <f>M3+M5+M7+M9+M11+M13+M15</f>
        <v>17992</v>
      </c>
      <c r="I30" s="109"/>
      <c r="J30" s="109">
        <f>Q3+Q5+Q7+Q9+Q11+Q13+Q15</f>
        <v>12</v>
      </c>
      <c r="K30" s="109"/>
      <c r="R30" s="2"/>
      <c r="S30" s="2"/>
      <c r="T30" s="2"/>
    </row>
    <row r="31" spans="3:20" ht="15.75">
      <c r="C31" s="29" t="s">
        <v>169</v>
      </c>
      <c r="R31" s="2"/>
      <c r="S31" s="2"/>
      <c r="T31" s="2"/>
    </row>
    <row r="32" spans="3:20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R32" s="2"/>
      <c r="S32" s="2"/>
      <c r="T32" s="2"/>
    </row>
    <row r="33" spans="3:20" ht="15.75">
      <c r="C33" s="1">
        <v>4</v>
      </c>
      <c r="D33" s="1">
        <v>1</v>
      </c>
      <c r="E33" s="1">
        <v>2</v>
      </c>
      <c r="F33" s="7">
        <f>N6+N8+N10+N12+N14+N16+N17</f>
        <v>30</v>
      </c>
      <c r="G33" s="7">
        <f>O6+O8+O10+O12+O14+O16+O17</f>
        <v>26</v>
      </c>
      <c r="H33" s="108">
        <f>M6+M8+M10+M12+M14+M16+M17</f>
        <v>17964</v>
      </c>
      <c r="I33" s="109"/>
      <c r="J33" s="108">
        <f>Q6+Q8+Q10+Q12+Q14+Q16+Q17</f>
        <v>9</v>
      </c>
      <c r="K33" s="109"/>
      <c r="R33" s="2"/>
      <c r="S33" s="2"/>
      <c r="T33" s="2"/>
    </row>
  </sheetData>
  <mergeCells count="24">
    <mergeCell ref="C1:L1"/>
    <mergeCell ref="N1:O1"/>
    <mergeCell ref="C21:D21"/>
    <mergeCell ref="N19:O19"/>
    <mergeCell ref="C22:D22"/>
    <mergeCell ref="C23:D23"/>
    <mergeCell ref="F26:G26"/>
    <mergeCell ref="H26:I26"/>
    <mergeCell ref="F32:G32"/>
    <mergeCell ref="H32:I32"/>
    <mergeCell ref="J32:K32"/>
    <mergeCell ref="J26:K26"/>
    <mergeCell ref="H27:I27"/>
    <mergeCell ref="J27:K27"/>
    <mergeCell ref="F29:G29"/>
    <mergeCell ref="H29:I29"/>
    <mergeCell ref="J29:K29"/>
    <mergeCell ref="N22:O22"/>
    <mergeCell ref="N23:O23"/>
    <mergeCell ref="H33:I33"/>
    <mergeCell ref="J33:K33"/>
    <mergeCell ref="H30:I30"/>
    <mergeCell ref="J30:K30"/>
    <mergeCell ref="M27:N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1" sqref="I31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3" width="10.625" style="1" customWidth="1"/>
    <col min="4" max="7" width="9.125" style="1" customWidth="1"/>
    <col min="8" max="8" width="9.75390625" style="1" customWidth="1"/>
    <col min="9" max="12" width="9.125" style="1" customWidth="1"/>
    <col min="13" max="13" width="16.1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3.0039062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2:17" ht="32.25" thickBot="1">
      <c r="B2" s="3" t="s">
        <v>15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59</v>
      </c>
      <c r="I2" s="11" t="s">
        <v>143</v>
      </c>
      <c r="J2" s="11" t="s">
        <v>204</v>
      </c>
      <c r="K2" s="11"/>
      <c r="L2" s="11"/>
      <c r="M2" s="3" t="s">
        <v>24</v>
      </c>
      <c r="N2" s="3" t="s">
        <v>8</v>
      </c>
      <c r="O2" s="3" t="s">
        <v>23</v>
      </c>
      <c r="P2" s="3" t="s">
        <v>25</v>
      </c>
      <c r="Q2" s="13" t="s">
        <v>134</v>
      </c>
    </row>
    <row r="3" spans="1:17" s="41" customFormat="1" ht="15.75">
      <c r="A3" s="20" t="s">
        <v>145</v>
      </c>
      <c r="B3" s="39" t="s">
        <v>14</v>
      </c>
      <c r="C3" s="39"/>
      <c r="D3" s="68">
        <v>439</v>
      </c>
      <c r="E3" s="68">
        <v>459</v>
      </c>
      <c r="F3" s="68">
        <v>480</v>
      </c>
      <c r="G3" s="20">
        <v>431</v>
      </c>
      <c r="H3" s="68">
        <v>443</v>
      </c>
      <c r="I3" s="39">
        <v>415</v>
      </c>
      <c r="J3" s="39"/>
      <c r="K3" s="39"/>
      <c r="L3" s="57"/>
      <c r="M3" s="49">
        <f>SUM(C3:L3)</f>
        <v>2667</v>
      </c>
      <c r="N3" s="39">
        <v>6</v>
      </c>
      <c r="O3" s="39">
        <v>2</v>
      </c>
      <c r="P3" s="39">
        <v>117</v>
      </c>
      <c r="Q3" s="39">
        <v>2</v>
      </c>
    </row>
    <row r="4" spans="1:17" s="38" customFormat="1" ht="15.75">
      <c r="A4" s="19" t="s">
        <v>146</v>
      </c>
      <c r="B4" s="17" t="s">
        <v>13</v>
      </c>
      <c r="C4" s="17">
        <v>377</v>
      </c>
      <c r="D4" s="67">
        <v>422</v>
      </c>
      <c r="E4" s="19">
        <v>394</v>
      </c>
      <c r="F4" s="19">
        <v>411</v>
      </c>
      <c r="G4" s="67">
        <v>429</v>
      </c>
      <c r="H4" s="19">
        <v>397</v>
      </c>
      <c r="I4" s="17"/>
      <c r="J4" s="17"/>
      <c r="K4" s="17"/>
      <c r="L4" s="27"/>
      <c r="M4" s="28">
        <f>SUM(C4:L4)</f>
        <v>2430</v>
      </c>
      <c r="N4" s="17">
        <v>2</v>
      </c>
      <c r="O4" s="17">
        <v>6</v>
      </c>
      <c r="P4" s="17">
        <v>-88</v>
      </c>
      <c r="Q4" s="17">
        <v>0</v>
      </c>
    </row>
    <row r="5" spans="1:17" s="41" customFormat="1" ht="15.75">
      <c r="A5" s="20" t="s">
        <v>147</v>
      </c>
      <c r="B5" s="39" t="s">
        <v>12</v>
      </c>
      <c r="C5" s="39">
        <v>390</v>
      </c>
      <c r="D5" s="68">
        <v>473</v>
      </c>
      <c r="E5" s="68">
        <v>438</v>
      </c>
      <c r="F5" s="39">
        <v>424</v>
      </c>
      <c r="G5" s="39">
        <v>390</v>
      </c>
      <c r="H5" s="39"/>
      <c r="I5" s="39">
        <v>403</v>
      </c>
      <c r="J5" s="39"/>
      <c r="K5" s="39"/>
      <c r="L5" s="57"/>
      <c r="M5" s="49">
        <f>SUM(C5:L5)</f>
        <v>2518</v>
      </c>
      <c r="N5" s="39">
        <v>2</v>
      </c>
      <c r="O5" s="39">
        <v>6</v>
      </c>
      <c r="P5" s="39">
        <v>-71</v>
      </c>
      <c r="Q5" s="39">
        <v>0</v>
      </c>
    </row>
    <row r="6" spans="1:17" s="38" customFormat="1" ht="15.75">
      <c r="A6" s="19" t="s">
        <v>148</v>
      </c>
      <c r="B6" s="17" t="s">
        <v>11</v>
      </c>
      <c r="C6" s="17"/>
      <c r="D6" s="19">
        <v>404</v>
      </c>
      <c r="E6" s="67">
        <v>442</v>
      </c>
      <c r="F6" s="67">
        <v>447</v>
      </c>
      <c r="G6" s="19">
        <v>402</v>
      </c>
      <c r="H6" s="67">
        <v>452</v>
      </c>
      <c r="I6" s="17">
        <v>412</v>
      </c>
      <c r="J6" s="17"/>
      <c r="K6" s="17"/>
      <c r="L6" s="27"/>
      <c r="M6" s="28">
        <f aca="true" t="shared" si="0" ref="M6:M13">SUM(C6:L6)</f>
        <v>2559</v>
      </c>
      <c r="N6" s="17">
        <v>3</v>
      </c>
      <c r="O6" s="17">
        <v>5</v>
      </c>
      <c r="P6" s="17">
        <v>-32</v>
      </c>
      <c r="Q6" s="17">
        <v>0</v>
      </c>
    </row>
    <row r="7" spans="1:17" s="41" customFormat="1" ht="15.75">
      <c r="A7" s="20" t="s">
        <v>149</v>
      </c>
      <c r="B7" s="39" t="s">
        <v>10</v>
      </c>
      <c r="C7" s="68">
        <v>393</v>
      </c>
      <c r="D7" s="68">
        <v>423</v>
      </c>
      <c r="E7" s="68">
        <v>452</v>
      </c>
      <c r="F7" s="20">
        <v>390</v>
      </c>
      <c r="G7" s="20"/>
      <c r="H7" s="20">
        <v>383</v>
      </c>
      <c r="I7" s="68">
        <v>423</v>
      </c>
      <c r="J7" s="39"/>
      <c r="K7" s="39"/>
      <c r="L7" s="57"/>
      <c r="M7" s="49">
        <f t="shared" si="0"/>
        <v>2464</v>
      </c>
      <c r="N7" s="39">
        <v>6</v>
      </c>
      <c r="O7" s="39">
        <v>2</v>
      </c>
      <c r="P7" s="49">
        <f>M7-2321</f>
        <v>143</v>
      </c>
      <c r="Q7" s="39">
        <v>2</v>
      </c>
    </row>
    <row r="8" spans="1:13" ht="15.75">
      <c r="A8" s="12" t="s">
        <v>150</v>
      </c>
      <c r="B8" s="1" t="s">
        <v>9</v>
      </c>
      <c r="C8" s="30"/>
      <c r="D8" s="30"/>
      <c r="E8" s="30"/>
      <c r="F8" s="30"/>
      <c r="G8" s="30"/>
      <c r="H8" s="30"/>
      <c r="I8" s="15"/>
      <c r="J8" s="15"/>
      <c r="K8" s="15"/>
      <c r="L8" s="16"/>
      <c r="M8" s="7">
        <f t="shared" si="0"/>
        <v>0</v>
      </c>
    </row>
    <row r="9" spans="1:17" s="38" customFormat="1" ht="15.75">
      <c r="A9" s="19" t="s">
        <v>151</v>
      </c>
      <c r="B9" s="17" t="s">
        <v>2</v>
      </c>
      <c r="C9" s="17">
        <v>413</v>
      </c>
      <c r="D9" s="67">
        <v>470</v>
      </c>
      <c r="E9" s="67">
        <v>446</v>
      </c>
      <c r="F9" s="17">
        <v>417</v>
      </c>
      <c r="G9" s="17">
        <v>374</v>
      </c>
      <c r="H9" s="17"/>
      <c r="I9" s="17">
        <v>408</v>
      </c>
      <c r="J9" s="17"/>
      <c r="K9" s="17"/>
      <c r="L9" s="27"/>
      <c r="M9" s="28">
        <f t="shared" si="0"/>
        <v>2528</v>
      </c>
      <c r="N9" s="17">
        <v>4</v>
      </c>
      <c r="O9" s="17">
        <v>4</v>
      </c>
      <c r="P9" s="17">
        <v>16</v>
      </c>
      <c r="Q9" s="17">
        <v>1</v>
      </c>
    </row>
    <row r="10" spans="1:17" s="41" customFormat="1" ht="15.75">
      <c r="A10" s="20" t="s">
        <v>152</v>
      </c>
      <c r="B10" s="39" t="s">
        <v>0</v>
      </c>
      <c r="C10" s="39">
        <v>390</v>
      </c>
      <c r="D10" s="68">
        <v>429</v>
      </c>
      <c r="E10" s="39">
        <v>424</v>
      </c>
      <c r="F10" s="68">
        <v>431</v>
      </c>
      <c r="G10" s="39">
        <v>381</v>
      </c>
      <c r="H10" s="68">
        <v>426</v>
      </c>
      <c r="I10" s="39"/>
      <c r="J10" s="39"/>
      <c r="K10" s="39"/>
      <c r="L10" s="57"/>
      <c r="M10" s="49">
        <f t="shared" si="0"/>
        <v>2481</v>
      </c>
      <c r="N10" s="39">
        <v>3</v>
      </c>
      <c r="O10" s="39">
        <v>5</v>
      </c>
      <c r="P10" s="39">
        <v>-77</v>
      </c>
      <c r="Q10" s="39">
        <v>0</v>
      </c>
    </row>
    <row r="11" spans="1:17" s="38" customFormat="1" ht="15.75">
      <c r="A11" s="19" t="s">
        <v>153</v>
      </c>
      <c r="B11" s="17" t="s">
        <v>1</v>
      </c>
      <c r="C11" s="17">
        <v>420</v>
      </c>
      <c r="D11" s="67">
        <v>435</v>
      </c>
      <c r="E11" s="67">
        <v>450</v>
      </c>
      <c r="F11" s="17">
        <v>407</v>
      </c>
      <c r="G11" s="17">
        <v>404</v>
      </c>
      <c r="H11" s="17">
        <v>423</v>
      </c>
      <c r="I11" s="17"/>
      <c r="J11" s="17"/>
      <c r="K11" s="17"/>
      <c r="L11" s="27"/>
      <c r="M11" s="28">
        <f t="shared" si="0"/>
        <v>2539</v>
      </c>
      <c r="N11" s="17">
        <v>4</v>
      </c>
      <c r="O11" s="17">
        <v>4</v>
      </c>
      <c r="P11" s="17">
        <v>11</v>
      </c>
      <c r="Q11" s="17">
        <v>1</v>
      </c>
    </row>
    <row r="12" spans="1:17" s="41" customFormat="1" ht="15.75">
      <c r="A12" s="20" t="s">
        <v>154</v>
      </c>
      <c r="B12" s="39" t="s">
        <v>18</v>
      </c>
      <c r="C12" s="39">
        <v>413</v>
      </c>
      <c r="D12" s="68">
        <v>449</v>
      </c>
      <c r="E12" s="68">
        <v>436</v>
      </c>
      <c r="F12" s="39">
        <v>408</v>
      </c>
      <c r="G12" s="39"/>
      <c r="H12" s="39">
        <v>177</v>
      </c>
      <c r="I12" s="39">
        <v>421</v>
      </c>
      <c r="J12" s="39">
        <v>205</v>
      </c>
      <c r="K12" s="39"/>
      <c r="L12" s="57"/>
      <c r="M12" s="49">
        <f t="shared" si="0"/>
        <v>2509</v>
      </c>
      <c r="N12" s="39">
        <v>2</v>
      </c>
      <c r="O12" s="39">
        <v>6</v>
      </c>
      <c r="P12" s="39">
        <v>-84</v>
      </c>
      <c r="Q12" s="39">
        <v>0</v>
      </c>
    </row>
    <row r="13" spans="1:17" s="38" customFormat="1" ht="15.75">
      <c r="A13" s="19" t="s">
        <v>155</v>
      </c>
      <c r="B13" s="17" t="s">
        <v>6</v>
      </c>
      <c r="C13" s="17">
        <v>396</v>
      </c>
      <c r="D13" s="67">
        <v>432</v>
      </c>
      <c r="E13" s="67">
        <v>455</v>
      </c>
      <c r="F13" s="17">
        <v>415</v>
      </c>
      <c r="G13" s="17">
        <v>425</v>
      </c>
      <c r="H13" s="17"/>
      <c r="I13" s="17">
        <v>392</v>
      </c>
      <c r="J13" s="17"/>
      <c r="K13" s="17"/>
      <c r="L13" s="27"/>
      <c r="M13" s="28">
        <f t="shared" si="0"/>
        <v>2515</v>
      </c>
      <c r="N13" s="17">
        <v>2</v>
      </c>
      <c r="O13" s="17">
        <v>6</v>
      </c>
      <c r="P13" s="17">
        <v>-51</v>
      </c>
      <c r="Q13" s="17">
        <v>0</v>
      </c>
    </row>
    <row r="14" spans="1:17" s="41" customFormat="1" ht="15.75">
      <c r="A14" s="20" t="s">
        <v>156</v>
      </c>
      <c r="B14" s="39" t="s">
        <v>5</v>
      </c>
      <c r="C14" s="68">
        <v>460</v>
      </c>
      <c r="D14" s="68">
        <v>438</v>
      </c>
      <c r="E14" s="68">
        <v>427</v>
      </c>
      <c r="F14" s="68">
        <v>457</v>
      </c>
      <c r="G14" s="39">
        <v>420</v>
      </c>
      <c r="H14" s="39">
        <v>374</v>
      </c>
      <c r="I14" s="39"/>
      <c r="J14" s="39"/>
      <c r="K14" s="39"/>
      <c r="L14" s="57"/>
      <c r="M14" s="49">
        <f>SUM(C14:L14)</f>
        <v>2576</v>
      </c>
      <c r="N14" s="39">
        <v>6</v>
      </c>
      <c r="O14" s="39">
        <v>2</v>
      </c>
      <c r="P14" s="39">
        <v>9</v>
      </c>
      <c r="Q14" s="39">
        <v>2</v>
      </c>
    </row>
    <row r="15" spans="1:17" s="38" customFormat="1" ht="15.75">
      <c r="A15" s="19" t="s">
        <v>157</v>
      </c>
      <c r="B15" s="17" t="s">
        <v>4</v>
      </c>
      <c r="C15" s="67">
        <v>435</v>
      </c>
      <c r="D15" s="17">
        <v>394</v>
      </c>
      <c r="E15" s="67">
        <v>490</v>
      </c>
      <c r="F15" s="67">
        <v>467</v>
      </c>
      <c r="G15" s="67">
        <v>412</v>
      </c>
      <c r="H15" s="17"/>
      <c r="I15" s="67">
        <v>459</v>
      </c>
      <c r="J15" s="17"/>
      <c r="K15" s="17"/>
      <c r="L15" s="27"/>
      <c r="M15" s="28">
        <f>SUM(C15:L15)</f>
        <v>2657</v>
      </c>
      <c r="N15" s="17">
        <v>7</v>
      </c>
      <c r="O15" s="17">
        <v>1</v>
      </c>
      <c r="P15" s="17">
        <v>298</v>
      </c>
      <c r="Q15" s="17">
        <v>2</v>
      </c>
    </row>
    <row r="16" spans="1:17" s="41" customFormat="1" ht="15.75">
      <c r="A16" s="20" t="s">
        <v>158</v>
      </c>
      <c r="B16" s="39" t="s">
        <v>3</v>
      </c>
      <c r="C16" s="39">
        <v>204</v>
      </c>
      <c r="D16" s="68">
        <v>466</v>
      </c>
      <c r="E16" s="39">
        <v>417</v>
      </c>
      <c r="F16" s="68">
        <v>433</v>
      </c>
      <c r="G16" s="39">
        <v>201</v>
      </c>
      <c r="H16" s="39">
        <v>388</v>
      </c>
      <c r="I16" s="68">
        <v>445</v>
      </c>
      <c r="J16" s="39"/>
      <c r="K16" s="39"/>
      <c r="L16" s="57"/>
      <c r="M16" s="49">
        <f>SUM(C16:L16)</f>
        <v>2554</v>
      </c>
      <c r="N16" s="39">
        <v>5</v>
      </c>
      <c r="O16" s="39">
        <v>3</v>
      </c>
      <c r="P16" s="39">
        <v>24</v>
      </c>
      <c r="Q16" s="39">
        <v>2</v>
      </c>
    </row>
    <row r="17" spans="1:17" s="38" customFormat="1" ht="16.5" thickBot="1">
      <c r="A17" s="19" t="s">
        <v>159</v>
      </c>
      <c r="B17" s="17" t="s">
        <v>16</v>
      </c>
      <c r="C17" s="42">
        <v>393</v>
      </c>
      <c r="D17" s="97">
        <v>441</v>
      </c>
      <c r="E17" s="42">
        <v>412</v>
      </c>
      <c r="F17" s="97">
        <v>432</v>
      </c>
      <c r="G17" s="42">
        <v>416</v>
      </c>
      <c r="H17" s="42"/>
      <c r="I17" s="42">
        <v>399</v>
      </c>
      <c r="J17" s="42"/>
      <c r="K17" s="42"/>
      <c r="L17" s="51"/>
      <c r="M17" s="47">
        <f>SUM(C17:L17)</f>
        <v>2493</v>
      </c>
      <c r="N17" s="42">
        <v>2</v>
      </c>
      <c r="O17" s="42">
        <v>6</v>
      </c>
      <c r="P17" s="42">
        <v>-178</v>
      </c>
      <c r="Q17" s="42">
        <v>0</v>
      </c>
    </row>
    <row r="18" spans="3:12" ht="16.5" thickTop="1">
      <c r="C18" s="7">
        <f>SUM(C3:C17)</f>
        <v>4684</v>
      </c>
      <c r="D18" s="7">
        <f aca="true" t="shared" si="1" ref="D18:L18">SUM(D3:D17)</f>
        <v>6115</v>
      </c>
      <c r="E18" s="7">
        <f t="shared" si="1"/>
        <v>6142</v>
      </c>
      <c r="F18" s="7">
        <f t="shared" si="1"/>
        <v>6019</v>
      </c>
      <c r="G18" s="7">
        <f t="shared" si="1"/>
        <v>4685</v>
      </c>
      <c r="H18" s="7">
        <f t="shared" si="1"/>
        <v>3463</v>
      </c>
      <c r="I18" s="7">
        <f t="shared" si="1"/>
        <v>4177</v>
      </c>
      <c r="J18" s="7">
        <f t="shared" si="1"/>
        <v>205</v>
      </c>
      <c r="K18" s="7">
        <f t="shared" si="1"/>
        <v>0</v>
      </c>
      <c r="L18" s="7">
        <f t="shared" si="1"/>
        <v>0</v>
      </c>
    </row>
    <row r="19" spans="2:17" ht="35.25" customHeight="1">
      <c r="B19" s="93" t="s">
        <v>206</v>
      </c>
      <c r="C19" s="94">
        <f>C18/11.5</f>
        <v>407.30434782608694</v>
      </c>
      <c r="D19" s="94">
        <f>D18/14</f>
        <v>436.7857142857143</v>
      </c>
      <c r="E19" s="94">
        <f>E18/14</f>
        <v>438.7142857142857</v>
      </c>
      <c r="F19" s="94">
        <f>F18/14</f>
        <v>429.92857142857144</v>
      </c>
      <c r="G19" s="94">
        <f>G18/11.5</f>
        <v>407.39130434782606</v>
      </c>
      <c r="H19" s="94">
        <f>H18/8.5</f>
        <v>407.4117647058824</v>
      </c>
      <c r="I19" s="94">
        <f>I18/10</f>
        <v>417.7</v>
      </c>
      <c r="J19" s="94">
        <f>J18/0.5</f>
        <v>410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13:17" ht="15.75">
      <c r="M20" s="7">
        <f>SUM(M3:M17)</f>
        <v>35490</v>
      </c>
      <c r="N20" s="1">
        <f>SUM(N3:N17)+53</f>
        <v>107</v>
      </c>
      <c r="O20" s="1">
        <f>SUM(O3:O17)+59</f>
        <v>117</v>
      </c>
      <c r="P20" s="1">
        <f>SUM(P3:P17)</f>
        <v>37</v>
      </c>
      <c r="Q20" s="1">
        <f>SUM(Q3:Q17)+12</f>
        <v>24</v>
      </c>
    </row>
    <row r="21" spans="3:4" ht="15.75">
      <c r="C21" s="103" t="s">
        <v>39</v>
      </c>
      <c r="D21" s="103"/>
    </row>
    <row r="22" spans="3:15" ht="15.75">
      <c r="C22" s="104" t="s">
        <v>160</v>
      </c>
      <c r="D22" s="104"/>
      <c r="N22" s="106" t="s">
        <v>170</v>
      </c>
      <c r="O22" s="106"/>
    </row>
    <row r="23" spans="3:15" ht="15.75">
      <c r="C23" s="105" t="s">
        <v>161</v>
      </c>
      <c r="D23" s="105"/>
      <c r="N23" s="107">
        <f>N20-O20</f>
        <v>-10</v>
      </c>
      <c r="O23" s="107"/>
    </row>
    <row r="25" spans="3:20" ht="15.75">
      <c r="C25" s="29" t="s">
        <v>162</v>
      </c>
      <c r="R25" s="2"/>
      <c r="S25" s="2"/>
      <c r="T25" s="2"/>
    </row>
    <row r="26" spans="2:20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R26" s="2"/>
      <c r="S26" s="2"/>
      <c r="T26" s="2"/>
    </row>
    <row r="27" spans="2:20" ht="15.75">
      <c r="B27" s="1" t="s">
        <v>189</v>
      </c>
      <c r="C27" s="1">
        <v>6</v>
      </c>
      <c r="E27" s="1">
        <v>8</v>
      </c>
      <c r="F27" s="1">
        <v>53</v>
      </c>
      <c r="G27" s="1">
        <v>59</v>
      </c>
      <c r="H27" s="109">
        <v>2522</v>
      </c>
      <c r="I27" s="109"/>
      <c r="J27" s="109">
        <v>12</v>
      </c>
      <c r="K27" s="109"/>
      <c r="M27" s="101" t="s">
        <v>182</v>
      </c>
      <c r="N27" s="101"/>
      <c r="O27" s="7">
        <f>AVERAGE(M3,M4,M5,M6,M7,M9,M10,M11,M12,M14,M15,M13,M16,M17)</f>
        <v>2535</v>
      </c>
      <c r="R27" s="2"/>
      <c r="S27" s="2"/>
      <c r="T27" s="2"/>
    </row>
    <row r="28" spans="3:20" ht="15.75">
      <c r="C28" s="29" t="s">
        <v>167</v>
      </c>
      <c r="R28" s="2"/>
      <c r="S28" s="2"/>
      <c r="T28" s="2"/>
    </row>
    <row r="29" spans="3:20" ht="29.2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R29" s="2"/>
      <c r="S29" s="2"/>
      <c r="T29" s="2"/>
    </row>
    <row r="30" spans="3:20" ht="15.75">
      <c r="C30" s="1">
        <v>1</v>
      </c>
      <c r="D30" s="1">
        <v>2</v>
      </c>
      <c r="E30" s="1">
        <v>4</v>
      </c>
      <c r="F30" s="7">
        <f>N4+N6+N9+N11+N13+N15+N17</f>
        <v>24</v>
      </c>
      <c r="G30" s="7">
        <f>O4+O6+O9+O11+O13+O15+O17</f>
        <v>32</v>
      </c>
      <c r="H30" s="108">
        <f>M4+M6+M9+M11+M13+M15+M17</f>
        <v>17721</v>
      </c>
      <c r="I30" s="109"/>
      <c r="J30" s="108">
        <f>Q4+Q6+Q9+Q11+Q13+Q15+Q17</f>
        <v>4</v>
      </c>
      <c r="K30" s="109"/>
      <c r="R30" s="2"/>
      <c r="S30" s="2"/>
      <c r="T30" s="2"/>
    </row>
    <row r="31" spans="3:20" ht="15.75">
      <c r="C31" s="29" t="s">
        <v>169</v>
      </c>
      <c r="R31" s="2"/>
      <c r="S31" s="2"/>
      <c r="T31" s="2"/>
    </row>
    <row r="32" spans="3:20" ht="34.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R32" s="2"/>
      <c r="S32" s="2"/>
      <c r="T32" s="2"/>
    </row>
    <row r="33" spans="3:20" ht="15.75">
      <c r="C33" s="1">
        <v>4</v>
      </c>
      <c r="E33" s="1">
        <v>3</v>
      </c>
      <c r="F33" s="1">
        <f>N3+N5+N7+N10+N12+N14+N16</f>
        <v>30</v>
      </c>
      <c r="G33" s="1">
        <f>O3+O5+O7+O10+O12+O14+O16</f>
        <v>26</v>
      </c>
      <c r="H33" s="108">
        <f>M3+M5+M7+M10+M12+M14+M16</f>
        <v>17769</v>
      </c>
      <c r="I33" s="109"/>
      <c r="J33" s="109">
        <f>Q3+Q5+Q7+Q10+Q12+Q14+Q16</f>
        <v>8</v>
      </c>
      <c r="K33" s="109"/>
      <c r="R33" s="2"/>
      <c r="S33" s="2"/>
      <c r="T33" s="2"/>
    </row>
  </sheetData>
  <mergeCells count="24">
    <mergeCell ref="M27:N27"/>
    <mergeCell ref="H33:I33"/>
    <mergeCell ref="J33:K33"/>
    <mergeCell ref="J26:K26"/>
    <mergeCell ref="H27:I27"/>
    <mergeCell ref="J27:K27"/>
    <mergeCell ref="H30:I30"/>
    <mergeCell ref="J30:K30"/>
    <mergeCell ref="F32:G32"/>
    <mergeCell ref="H32:I32"/>
    <mergeCell ref="J32:K32"/>
    <mergeCell ref="C22:D22"/>
    <mergeCell ref="C23:D23"/>
    <mergeCell ref="F26:G26"/>
    <mergeCell ref="H26:I26"/>
    <mergeCell ref="F29:G29"/>
    <mergeCell ref="H29:I29"/>
    <mergeCell ref="J29:K29"/>
    <mergeCell ref="N22:O22"/>
    <mergeCell ref="N23:O23"/>
    <mergeCell ref="C1:L1"/>
    <mergeCell ref="N1:O1"/>
    <mergeCell ref="C21:D21"/>
    <mergeCell ref="N19:O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0" sqref="F30"/>
    </sheetView>
  </sheetViews>
  <sheetFormatPr defaultColWidth="9.00390625" defaultRowHeight="12.75"/>
  <cols>
    <col min="1" max="1" width="11.25390625" style="5" bestFit="1" customWidth="1"/>
    <col min="2" max="2" width="10.375" style="5" bestFit="1" customWidth="1"/>
    <col min="3" max="3" width="11.625" style="5" customWidth="1"/>
    <col min="4" max="4" width="14.00390625" style="5" bestFit="1" customWidth="1"/>
    <col min="5" max="6" width="11.375" style="5" customWidth="1"/>
    <col min="7" max="7" width="9.125" style="5" customWidth="1"/>
    <col min="8" max="8" width="11.375" style="5" customWidth="1"/>
    <col min="9" max="9" width="9.125" style="5" customWidth="1"/>
    <col min="10" max="10" width="13.375" style="5" customWidth="1"/>
    <col min="11" max="11" width="16.00390625" style="5" customWidth="1"/>
    <col min="12" max="12" width="11.125" style="5" customWidth="1"/>
    <col min="13" max="13" width="13.25390625" style="5" customWidth="1"/>
    <col min="14" max="14" width="14.87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</cols>
  <sheetData>
    <row r="1" spans="3:21" ht="15.75">
      <c r="C1" s="112" t="s">
        <v>17</v>
      </c>
      <c r="D1" s="112"/>
      <c r="E1" s="112"/>
      <c r="F1" s="112"/>
      <c r="G1" s="112"/>
      <c r="H1" s="112"/>
      <c r="I1" s="112"/>
      <c r="J1" s="112"/>
      <c r="K1" s="6"/>
      <c r="L1" s="101" t="s">
        <v>22</v>
      </c>
      <c r="M1" s="101"/>
      <c r="S1" s="2"/>
      <c r="T1" s="2"/>
      <c r="U1" s="2"/>
    </row>
    <row r="2" spans="2:18" ht="41.25" customHeight="1" thickBot="1">
      <c r="B2" s="6" t="s">
        <v>15</v>
      </c>
      <c r="C2" s="11" t="s">
        <v>75</v>
      </c>
      <c r="D2" s="11" t="s">
        <v>76</v>
      </c>
      <c r="E2" s="11" t="s">
        <v>77</v>
      </c>
      <c r="F2" s="11" t="s">
        <v>128</v>
      </c>
      <c r="G2" s="11" t="s">
        <v>129</v>
      </c>
      <c r="H2" s="11" t="s">
        <v>141</v>
      </c>
      <c r="I2" s="11" t="s">
        <v>175</v>
      </c>
      <c r="J2" s="11" t="s">
        <v>201</v>
      </c>
      <c r="K2" s="3" t="s">
        <v>24</v>
      </c>
      <c r="L2" s="3" t="s">
        <v>14</v>
      </c>
      <c r="M2" s="3" t="s">
        <v>23</v>
      </c>
      <c r="N2" s="3" t="s">
        <v>25</v>
      </c>
      <c r="O2" s="13" t="s">
        <v>134</v>
      </c>
      <c r="P2"/>
      <c r="Q2"/>
      <c r="R2"/>
    </row>
    <row r="3" spans="1:15" s="38" customFormat="1" ht="15.75">
      <c r="A3" s="19" t="s">
        <v>145</v>
      </c>
      <c r="B3" s="63" t="s">
        <v>8</v>
      </c>
      <c r="C3" s="63">
        <v>411</v>
      </c>
      <c r="D3" s="64">
        <v>432</v>
      </c>
      <c r="E3" s="64">
        <v>436</v>
      </c>
      <c r="F3" s="64"/>
      <c r="G3" s="64">
        <v>369</v>
      </c>
      <c r="H3" s="72">
        <v>441</v>
      </c>
      <c r="I3" s="72">
        <v>461</v>
      </c>
      <c r="J3" s="91"/>
      <c r="K3" s="28">
        <f aca="true" t="shared" si="0" ref="K3:K17">SUM(C3:J3)</f>
        <v>2550</v>
      </c>
      <c r="L3" s="17">
        <v>2</v>
      </c>
      <c r="M3" s="17">
        <v>6</v>
      </c>
      <c r="N3" s="17">
        <v>-117</v>
      </c>
      <c r="O3" s="17">
        <v>0</v>
      </c>
    </row>
    <row r="4" spans="1:15" s="41" customFormat="1" ht="15.75">
      <c r="A4" s="20" t="s">
        <v>146</v>
      </c>
      <c r="B4" s="61" t="s">
        <v>0</v>
      </c>
      <c r="C4" s="61">
        <v>399</v>
      </c>
      <c r="D4" s="73">
        <v>429</v>
      </c>
      <c r="E4" s="73">
        <v>436</v>
      </c>
      <c r="F4" s="62">
        <v>395</v>
      </c>
      <c r="G4" s="62">
        <v>391</v>
      </c>
      <c r="H4" s="62"/>
      <c r="I4" s="62">
        <v>423</v>
      </c>
      <c r="J4" s="48"/>
      <c r="K4" s="49">
        <f t="shared" si="0"/>
        <v>2473</v>
      </c>
      <c r="L4" s="39">
        <v>2</v>
      </c>
      <c r="M4" s="39">
        <v>6</v>
      </c>
      <c r="N4" s="39">
        <v>-138</v>
      </c>
      <c r="O4" s="39">
        <v>0</v>
      </c>
    </row>
    <row r="5" spans="1:15" s="38" customFormat="1" ht="15.75">
      <c r="A5" s="19" t="s">
        <v>147</v>
      </c>
      <c r="B5" s="63" t="s">
        <v>1</v>
      </c>
      <c r="C5" s="63">
        <v>400</v>
      </c>
      <c r="D5" s="72">
        <v>443</v>
      </c>
      <c r="E5" s="64">
        <v>403</v>
      </c>
      <c r="F5" s="64">
        <v>395</v>
      </c>
      <c r="G5" s="64"/>
      <c r="H5" s="72">
        <v>427</v>
      </c>
      <c r="I5" s="64">
        <v>420</v>
      </c>
      <c r="J5" s="45"/>
      <c r="K5" s="28">
        <f t="shared" si="0"/>
        <v>2488</v>
      </c>
      <c r="L5" s="17">
        <v>2</v>
      </c>
      <c r="M5" s="17">
        <v>6</v>
      </c>
      <c r="N5" s="17">
        <v>-120</v>
      </c>
      <c r="O5" s="17">
        <v>0</v>
      </c>
    </row>
    <row r="6" spans="1:15" s="41" customFormat="1" ht="15.75">
      <c r="A6" s="20" t="s">
        <v>148</v>
      </c>
      <c r="B6" s="61" t="s">
        <v>18</v>
      </c>
      <c r="C6" s="73">
        <v>443</v>
      </c>
      <c r="D6" s="62">
        <v>427</v>
      </c>
      <c r="E6" s="73">
        <v>443</v>
      </c>
      <c r="F6" s="62">
        <v>430</v>
      </c>
      <c r="G6" s="62">
        <v>394</v>
      </c>
      <c r="H6" s="62"/>
      <c r="I6" s="73">
        <v>433</v>
      </c>
      <c r="J6" s="48"/>
      <c r="K6" s="49">
        <f t="shared" si="0"/>
        <v>2570</v>
      </c>
      <c r="L6" s="39">
        <v>5</v>
      </c>
      <c r="M6" s="39">
        <v>3</v>
      </c>
      <c r="N6" s="49">
        <v>68</v>
      </c>
      <c r="O6" s="39">
        <v>2</v>
      </c>
    </row>
    <row r="7" spans="1:15" s="38" customFormat="1" ht="15.75">
      <c r="A7" s="19" t="s">
        <v>149</v>
      </c>
      <c r="B7" s="63" t="s">
        <v>6</v>
      </c>
      <c r="C7" s="72">
        <v>416</v>
      </c>
      <c r="D7" s="72">
        <v>440</v>
      </c>
      <c r="E7" s="64"/>
      <c r="F7" s="64">
        <v>407</v>
      </c>
      <c r="G7" s="72">
        <v>416</v>
      </c>
      <c r="H7" s="72">
        <v>429</v>
      </c>
      <c r="I7" s="64">
        <v>410</v>
      </c>
      <c r="J7" s="45"/>
      <c r="K7" s="28">
        <f t="shared" si="0"/>
        <v>2518</v>
      </c>
      <c r="L7" s="17">
        <v>6</v>
      </c>
      <c r="M7" s="17">
        <v>2</v>
      </c>
      <c r="N7" s="28">
        <v>176</v>
      </c>
      <c r="O7" s="17">
        <v>2</v>
      </c>
    </row>
    <row r="8" spans="1:15" s="41" customFormat="1" ht="15.75">
      <c r="A8" s="20" t="s">
        <v>150</v>
      </c>
      <c r="B8" s="61" t="s">
        <v>5</v>
      </c>
      <c r="C8" s="61">
        <v>424</v>
      </c>
      <c r="D8" s="73">
        <v>455</v>
      </c>
      <c r="E8" s="73">
        <v>449</v>
      </c>
      <c r="F8" s="62">
        <v>428</v>
      </c>
      <c r="G8" s="62"/>
      <c r="H8" s="62">
        <v>435</v>
      </c>
      <c r="I8" s="73">
        <v>457</v>
      </c>
      <c r="J8" s="48"/>
      <c r="K8" s="49">
        <f t="shared" si="0"/>
        <v>2648</v>
      </c>
      <c r="L8" s="39">
        <v>5</v>
      </c>
      <c r="M8" s="39">
        <v>3</v>
      </c>
      <c r="N8" s="39">
        <v>8</v>
      </c>
      <c r="O8" s="39">
        <v>2</v>
      </c>
    </row>
    <row r="9" spans="1:15" s="38" customFormat="1" ht="15.75">
      <c r="A9" s="19" t="s">
        <v>151</v>
      </c>
      <c r="B9" s="63" t="s">
        <v>4</v>
      </c>
      <c r="C9" s="63"/>
      <c r="D9" s="64"/>
      <c r="E9" s="72">
        <v>441</v>
      </c>
      <c r="F9" s="72">
        <v>480</v>
      </c>
      <c r="G9" s="64">
        <v>391</v>
      </c>
      <c r="H9" s="72">
        <v>424</v>
      </c>
      <c r="I9" s="72">
        <v>469</v>
      </c>
      <c r="J9" s="27">
        <v>377</v>
      </c>
      <c r="K9" s="28">
        <f t="shared" si="0"/>
        <v>2582</v>
      </c>
      <c r="L9" s="17">
        <v>6</v>
      </c>
      <c r="M9" s="17">
        <v>2</v>
      </c>
      <c r="N9" s="17">
        <v>211</v>
      </c>
      <c r="O9" s="17">
        <v>2</v>
      </c>
    </row>
    <row r="10" spans="1:15" s="41" customFormat="1" ht="15.75">
      <c r="A10" s="20" t="s">
        <v>152</v>
      </c>
      <c r="B10" s="61" t="s">
        <v>3</v>
      </c>
      <c r="C10" s="61">
        <v>418</v>
      </c>
      <c r="D10" s="73">
        <v>455</v>
      </c>
      <c r="E10" s="73">
        <v>440</v>
      </c>
      <c r="F10" s="61"/>
      <c r="G10" s="61">
        <v>370</v>
      </c>
      <c r="H10" s="61">
        <v>419</v>
      </c>
      <c r="I10" s="73">
        <v>474</v>
      </c>
      <c r="J10" s="57"/>
      <c r="K10" s="49">
        <f t="shared" si="0"/>
        <v>2576</v>
      </c>
      <c r="L10" s="39">
        <v>5</v>
      </c>
      <c r="M10" s="39">
        <v>3</v>
      </c>
      <c r="N10" s="39">
        <v>186</v>
      </c>
      <c r="O10" s="39">
        <v>2</v>
      </c>
    </row>
    <row r="11" spans="1:15" s="38" customFormat="1" ht="15.75">
      <c r="A11" s="19" t="s">
        <v>153</v>
      </c>
      <c r="B11" s="63" t="s">
        <v>16</v>
      </c>
      <c r="C11" s="63">
        <v>416</v>
      </c>
      <c r="D11" s="63">
        <v>399</v>
      </c>
      <c r="E11" s="72">
        <v>448</v>
      </c>
      <c r="F11" s="63">
        <v>425</v>
      </c>
      <c r="G11" s="63"/>
      <c r="H11" s="72">
        <v>429</v>
      </c>
      <c r="I11" s="72">
        <v>444</v>
      </c>
      <c r="J11" s="27"/>
      <c r="K11" s="28">
        <f t="shared" si="0"/>
        <v>2561</v>
      </c>
      <c r="L11" s="17">
        <v>3</v>
      </c>
      <c r="M11" s="17">
        <v>5</v>
      </c>
      <c r="N11" s="17">
        <v>-49</v>
      </c>
      <c r="O11" s="17">
        <v>0</v>
      </c>
    </row>
    <row r="12" spans="1:15" s="41" customFormat="1" ht="15.75">
      <c r="A12" s="20" t="s">
        <v>154</v>
      </c>
      <c r="B12" s="61" t="s">
        <v>2</v>
      </c>
      <c r="C12" s="61">
        <v>394</v>
      </c>
      <c r="D12" s="73">
        <v>431</v>
      </c>
      <c r="E12" s="73">
        <v>446</v>
      </c>
      <c r="F12" s="73">
        <v>428</v>
      </c>
      <c r="G12" s="61"/>
      <c r="H12" s="61"/>
      <c r="I12" s="73">
        <v>444</v>
      </c>
      <c r="J12" s="57">
        <v>373</v>
      </c>
      <c r="K12" s="49">
        <f t="shared" si="0"/>
        <v>2516</v>
      </c>
      <c r="L12" s="39">
        <v>6</v>
      </c>
      <c r="M12" s="39">
        <v>2</v>
      </c>
      <c r="N12" s="39">
        <v>34</v>
      </c>
      <c r="O12" s="39">
        <v>2</v>
      </c>
    </row>
    <row r="13" spans="1:15" s="41" customFormat="1" ht="15.75">
      <c r="A13" s="20" t="s">
        <v>155</v>
      </c>
      <c r="B13" s="61" t="s">
        <v>13</v>
      </c>
      <c r="C13" s="62">
        <v>445</v>
      </c>
      <c r="D13" s="73">
        <v>471</v>
      </c>
      <c r="E13" s="73">
        <v>451</v>
      </c>
      <c r="F13" s="62">
        <v>439</v>
      </c>
      <c r="G13" s="61"/>
      <c r="H13" s="61">
        <v>438</v>
      </c>
      <c r="I13" s="73">
        <v>445</v>
      </c>
      <c r="J13" s="57"/>
      <c r="K13" s="49">
        <f t="shared" si="0"/>
        <v>2689</v>
      </c>
      <c r="L13" s="39">
        <v>5</v>
      </c>
      <c r="M13" s="39">
        <v>3</v>
      </c>
      <c r="N13" s="39">
        <v>23</v>
      </c>
      <c r="O13" s="39">
        <v>2</v>
      </c>
    </row>
    <row r="14" spans="1:15" s="38" customFormat="1" ht="15.75">
      <c r="A14" s="19" t="s">
        <v>156</v>
      </c>
      <c r="B14" s="63" t="s">
        <v>12</v>
      </c>
      <c r="C14" s="72">
        <v>429</v>
      </c>
      <c r="D14" s="63"/>
      <c r="E14" s="72">
        <v>434</v>
      </c>
      <c r="F14" s="63">
        <v>394</v>
      </c>
      <c r="G14" s="63"/>
      <c r="H14" s="63">
        <v>415</v>
      </c>
      <c r="I14" s="72">
        <v>460</v>
      </c>
      <c r="J14" s="27">
        <v>382</v>
      </c>
      <c r="K14" s="28">
        <f t="shared" si="0"/>
        <v>2514</v>
      </c>
      <c r="L14" s="17">
        <v>3</v>
      </c>
      <c r="M14" s="17">
        <v>5</v>
      </c>
      <c r="N14" s="17">
        <v>-68</v>
      </c>
      <c r="O14" s="17">
        <v>0</v>
      </c>
    </row>
    <row r="15" spans="1:15" s="41" customFormat="1" ht="15.75">
      <c r="A15" s="20" t="s">
        <v>157</v>
      </c>
      <c r="B15" s="61" t="s">
        <v>11</v>
      </c>
      <c r="C15" s="61">
        <v>420</v>
      </c>
      <c r="D15" s="73">
        <v>452</v>
      </c>
      <c r="E15" s="73">
        <v>506</v>
      </c>
      <c r="F15" s="61">
        <v>438</v>
      </c>
      <c r="G15" s="61"/>
      <c r="H15" s="73">
        <v>482</v>
      </c>
      <c r="I15" s="61">
        <v>408</v>
      </c>
      <c r="J15" s="57"/>
      <c r="K15" s="49">
        <f t="shared" si="0"/>
        <v>2706</v>
      </c>
      <c r="L15" s="39">
        <v>5</v>
      </c>
      <c r="M15" s="39">
        <v>3</v>
      </c>
      <c r="N15" s="39">
        <v>89</v>
      </c>
      <c r="O15" s="39">
        <v>2</v>
      </c>
    </row>
    <row r="16" spans="1:15" s="38" customFormat="1" ht="15.75">
      <c r="A16" s="19" t="s">
        <v>158</v>
      </c>
      <c r="B16" s="63" t="s">
        <v>10</v>
      </c>
      <c r="C16" s="72">
        <v>425</v>
      </c>
      <c r="D16" s="72">
        <v>456</v>
      </c>
      <c r="E16" s="72">
        <v>417</v>
      </c>
      <c r="F16" s="72">
        <v>464</v>
      </c>
      <c r="G16" s="63"/>
      <c r="H16" s="63"/>
      <c r="I16" s="72">
        <v>443</v>
      </c>
      <c r="J16" s="69">
        <v>423</v>
      </c>
      <c r="K16" s="28">
        <f t="shared" si="0"/>
        <v>2628</v>
      </c>
      <c r="L16" s="17">
        <v>8</v>
      </c>
      <c r="M16" s="17">
        <v>0</v>
      </c>
      <c r="N16" s="17">
        <v>425</v>
      </c>
      <c r="O16" s="17">
        <v>2</v>
      </c>
    </row>
    <row r="17" spans="1:18" ht="16.5" thickBot="1">
      <c r="A17" s="12" t="s">
        <v>159</v>
      </c>
      <c r="B17" s="5" t="s">
        <v>9</v>
      </c>
      <c r="C17" s="55"/>
      <c r="D17" s="55"/>
      <c r="E17" s="55"/>
      <c r="F17" s="55"/>
      <c r="G17" s="55"/>
      <c r="H17" s="55"/>
      <c r="I17" s="55"/>
      <c r="J17" s="56"/>
      <c r="K17" s="9">
        <f t="shared" si="0"/>
        <v>0</v>
      </c>
      <c r="L17" s="4"/>
      <c r="M17" s="4"/>
      <c r="N17" s="4"/>
      <c r="O17" s="4"/>
      <c r="P17"/>
      <c r="Q17"/>
      <c r="R17"/>
    </row>
    <row r="18" spans="3:18" ht="16.5" thickTop="1">
      <c r="C18" s="8">
        <f aca="true" t="shared" si="1" ref="C18:J18">SUM(C3:C17)</f>
        <v>5440</v>
      </c>
      <c r="D18" s="8">
        <f t="shared" si="1"/>
        <v>5290</v>
      </c>
      <c r="E18" s="8">
        <f t="shared" si="1"/>
        <v>5750</v>
      </c>
      <c r="F18" s="8">
        <f t="shared" si="1"/>
        <v>5123</v>
      </c>
      <c r="G18" s="8">
        <f t="shared" si="1"/>
        <v>2331</v>
      </c>
      <c r="H18" s="8">
        <f t="shared" si="1"/>
        <v>4339</v>
      </c>
      <c r="I18" s="8">
        <f t="shared" si="1"/>
        <v>6191</v>
      </c>
      <c r="J18" s="8">
        <f t="shared" si="1"/>
        <v>1555</v>
      </c>
      <c r="K18" s="1"/>
      <c r="L18" s="1"/>
      <c r="M18" s="1"/>
      <c r="P18"/>
      <c r="Q18"/>
      <c r="R18"/>
    </row>
    <row r="19" spans="2:15" ht="33.75" customHeight="1">
      <c r="B19" s="93" t="s">
        <v>206</v>
      </c>
      <c r="C19" s="94">
        <f>C18/13</f>
        <v>418.46153846153845</v>
      </c>
      <c r="D19" s="94">
        <f>D18/12</f>
        <v>440.8333333333333</v>
      </c>
      <c r="E19" s="94">
        <f>E18/13</f>
        <v>442.3076923076923</v>
      </c>
      <c r="F19" s="94">
        <f>F18/12</f>
        <v>426.9166666666667</v>
      </c>
      <c r="G19" s="94">
        <f>G18/6</f>
        <v>388.5</v>
      </c>
      <c r="H19" s="94">
        <f>H18/10</f>
        <v>433.9</v>
      </c>
      <c r="I19" s="94">
        <f>I18/14</f>
        <v>442.2142857142857</v>
      </c>
      <c r="J19" s="94">
        <f>J18/4</f>
        <v>388.75</v>
      </c>
      <c r="K19" s="3" t="s">
        <v>24</v>
      </c>
      <c r="L19" s="101" t="s">
        <v>135</v>
      </c>
      <c r="M19" s="101"/>
      <c r="N19" s="3" t="s">
        <v>25</v>
      </c>
      <c r="O19" s="13" t="s">
        <v>136</v>
      </c>
    </row>
    <row r="20" spans="11:15" ht="15.75">
      <c r="K20" s="7">
        <f>SUM(K3:K17)</f>
        <v>36019</v>
      </c>
      <c r="L20" s="1">
        <f>SUM(L3:L17)+53</f>
        <v>116</v>
      </c>
      <c r="M20" s="1">
        <f>SUM(M3:M17)+59</f>
        <v>108</v>
      </c>
      <c r="N20" s="1">
        <f>SUM(N3:N17)</f>
        <v>728</v>
      </c>
      <c r="O20" s="1">
        <f>SUM(O3:O17)+11</f>
        <v>29</v>
      </c>
    </row>
    <row r="21" spans="1:13" ht="15.75">
      <c r="A21" s="1"/>
      <c r="B21" s="1"/>
      <c r="C21" s="103" t="s">
        <v>39</v>
      </c>
      <c r="D21" s="103"/>
      <c r="E21" s="1"/>
      <c r="F21" s="1"/>
      <c r="G21" s="1"/>
      <c r="H21" s="1"/>
      <c r="K21" s="1"/>
      <c r="L21" s="1"/>
      <c r="M21" s="1"/>
    </row>
    <row r="22" spans="1:13" ht="15.75">
      <c r="A22" s="1"/>
      <c r="B22" s="1"/>
      <c r="C22" s="104" t="s">
        <v>160</v>
      </c>
      <c r="D22" s="104"/>
      <c r="E22" s="1"/>
      <c r="F22" s="1"/>
      <c r="G22" s="1"/>
      <c r="H22" s="1"/>
      <c r="K22" s="1"/>
      <c r="L22" s="106" t="s">
        <v>170</v>
      </c>
      <c r="M22" s="106"/>
    </row>
    <row r="23" spans="1:13" ht="15.75">
      <c r="A23" s="1"/>
      <c r="B23" s="1"/>
      <c r="C23" s="105" t="s">
        <v>161</v>
      </c>
      <c r="D23" s="105"/>
      <c r="E23" s="1"/>
      <c r="F23" s="1"/>
      <c r="G23" s="1"/>
      <c r="H23" s="1"/>
      <c r="K23" s="1"/>
      <c r="L23" s="107">
        <f>L20-M20</f>
        <v>8</v>
      </c>
      <c r="M23" s="107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21" ht="15.75">
      <c r="A25" s="1"/>
      <c r="B25" s="1"/>
      <c r="C25" s="29" t="s">
        <v>162</v>
      </c>
      <c r="D25" s="1"/>
      <c r="E25" s="1"/>
      <c r="F25" s="1"/>
      <c r="G25" s="1"/>
      <c r="H25" s="1"/>
      <c r="I25" s="1"/>
      <c r="J25" s="1"/>
      <c r="K25" s="1"/>
      <c r="L25" s="1"/>
      <c r="M25" s="1"/>
      <c r="S25" s="2"/>
      <c r="T25" s="2"/>
      <c r="U25" s="2"/>
    </row>
    <row r="26" spans="1:21" ht="19.5" customHeight="1">
      <c r="A26" s="1"/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L26" s="13"/>
      <c r="M26" s="13"/>
      <c r="S26" s="2"/>
      <c r="T26" s="2"/>
      <c r="U26" s="2"/>
    </row>
    <row r="27" spans="1:21" ht="15.75">
      <c r="A27" s="1"/>
      <c r="B27" s="1" t="s">
        <v>181</v>
      </c>
      <c r="C27" s="1">
        <v>5</v>
      </c>
      <c r="D27" s="1">
        <v>1</v>
      </c>
      <c r="E27" s="1">
        <v>8</v>
      </c>
      <c r="F27" s="1">
        <v>53</v>
      </c>
      <c r="G27" s="1">
        <v>59</v>
      </c>
      <c r="H27" s="113">
        <v>2529</v>
      </c>
      <c r="I27" s="113"/>
      <c r="J27" s="109">
        <v>11</v>
      </c>
      <c r="K27" s="109"/>
      <c r="L27" s="1"/>
      <c r="M27" s="101" t="s">
        <v>182</v>
      </c>
      <c r="N27" s="101"/>
      <c r="O27" s="7">
        <f>AVERAGE(K3,K4,K5,K6,K7,K9,K10,K11,K12,K14,K15,K13,K8,K16)</f>
        <v>2572.785714285714</v>
      </c>
      <c r="S27" s="2"/>
      <c r="T27" s="2"/>
      <c r="U27" s="2"/>
    </row>
    <row r="28" spans="1:21" ht="15.75">
      <c r="A28" s="1"/>
      <c r="B28" s="1"/>
      <c r="C28" s="29" t="s">
        <v>167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S28" s="2"/>
      <c r="T28" s="2"/>
      <c r="U28" s="2"/>
    </row>
    <row r="29" spans="1:21" ht="34.5" customHeight="1">
      <c r="A29" s="1"/>
      <c r="B29" s="1"/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L29" s="13"/>
      <c r="S29" s="2"/>
      <c r="T29" s="2"/>
      <c r="U29" s="2"/>
    </row>
    <row r="30" spans="1:21" ht="15.75">
      <c r="A30" s="1"/>
      <c r="B30" s="1"/>
      <c r="C30" s="1">
        <v>3</v>
      </c>
      <c r="D30" s="1"/>
      <c r="E30" s="1">
        <v>4</v>
      </c>
      <c r="F30" s="1">
        <f>L3+L5+L7+L9+L11+L14+L16</f>
        <v>30</v>
      </c>
      <c r="G30" s="1">
        <f>M3+M5+M7+M9+M11+M14+M16</f>
        <v>26</v>
      </c>
      <c r="H30" s="108">
        <f>K3+K5+K7+K9+K11+K14+K16</f>
        <v>17841</v>
      </c>
      <c r="I30" s="109"/>
      <c r="J30" s="109">
        <f>O3+O5+O7+O9+O11+O14+O16</f>
        <v>6</v>
      </c>
      <c r="K30" s="109"/>
      <c r="L30" s="1"/>
      <c r="S30" s="2"/>
      <c r="T30" s="2"/>
      <c r="U30" s="2"/>
    </row>
    <row r="31" spans="1:21" ht="15.75">
      <c r="A31" s="1"/>
      <c r="B31" s="1"/>
      <c r="C31" s="29" t="s">
        <v>169</v>
      </c>
      <c r="D31" s="1"/>
      <c r="E31" s="1"/>
      <c r="F31" s="1"/>
      <c r="G31" s="1"/>
      <c r="H31" s="1"/>
      <c r="I31" s="1"/>
      <c r="J31" s="1"/>
      <c r="K31" s="1"/>
      <c r="L31" s="1"/>
      <c r="S31" s="2"/>
      <c r="T31" s="2"/>
      <c r="U31" s="2"/>
    </row>
    <row r="32" spans="1:21" ht="29.25" customHeight="1">
      <c r="A32" s="1"/>
      <c r="B32" s="1"/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L32" s="13"/>
      <c r="S32" s="2"/>
      <c r="T32" s="2"/>
      <c r="U32" s="2"/>
    </row>
    <row r="33" spans="1:21" ht="15.75">
      <c r="A33" s="1"/>
      <c r="B33" s="1"/>
      <c r="C33" s="1">
        <v>6</v>
      </c>
      <c r="D33" s="1"/>
      <c r="E33" s="1">
        <v>1</v>
      </c>
      <c r="F33" s="7">
        <f>L6+L8+L10+L12+L13+L15+L4</f>
        <v>33</v>
      </c>
      <c r="G33" s="7">
        <f>M6+M8+M10+M12+M13+M15+M4</f>
        <v>23</v>
      </c>
      <c r="H33" s="108">
        <f>K6+K8+K10+K12+K13+K15+K4</f>
        <v>18178</v>
      </c>
      <c r="I33" s="109"/>
      <c r="J33" s="108">
        <f>O6+O8+O10+O12+O13+O15+O4</f>
        <v>12</v>
      </c>
      <c r="K33" s="109"/>
      <c r="L33" s="1"/>
      <c r="S33" s="2"/>
      <c r="T33" s="2"/>
      <c r="U33" s="2"/>
    </row>
  </sheetData>
  <mergeCells count="24">
    <mergeCell ref="J26:K26"/>
    <mergeCell ref="H27:I27"/>
    <mergeCell ref="J27:K27"/>
    <mergeCell ref="H33:I33"/>
    <mergeCell ref="J33:K33"/>
    <mergeCell ref="H30:I30"/>
    <mergeCell ref="J30:K30"/>
    <mergeCell ref="J32:K32"/>
    <mergeCell ref="F32:G32"/>
    <mergeCell ref="H32:I32"/>
    <mergeCell ref="F29:G29"/>
    <mergeCell ref="L22:M22"/>
    <mergeCell ref="L23:M23"/>
    <mergeCell ref="H29:I29"/>
    <mergeCell ref="J29:K29"/>
    <mergeCell ref="F26:G26"/>
    <mergeCell ref="H26:I26"/>
    <mergeCell ref="M27:N27"/>
    <mergeCell ref="C23:D23"/>
    <mergeCell ref="L1:M1"/>
    <mergeCell ref="C21:D21"/>
    <mergeCell ref="L19:M19"/>
    <mergeCell ref="C22:D22"/>
    <mergeCell ref="C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zoomScale="89" zoomScaleNormal="89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0" sqref="J30:K30"/>
    </sheetView>
  </sheetViews>
  <sheetFormatPr defaultColWidth="9.00390625" defaultRowHeight="12.75"/>
  <cols>
    <col min="1" max="1" width="11.25390625" style="1" bestFit="1" customWidth="1"/>
    <col min="2" max="2" width="10.375" style="1" bestFit="1" customWidth="1"/>
    <col min="3" max="9" width="9.125" style="1" customWidth="1"/>
    <col min="10" max="10" width="11.25390625" style="1" customWidth="1"/>
    <col min="11" max="11" width="11.375" style="1" customWidth="1"/>
    <col min="12" max="12" width="9.125" style="1" customWidth="1"/>
    <col min="13" max="13" width="15.875" style="1" bestFit="1" customWidth="1"/>
    <col min="14" max="14" width="11.25390625" style="1" customWidth="1"/>
    <col min="15" max="15" width="11.125" style="1" customWidth="1"/>
    <col min="16" max="16" width="13.375" style="1" customWidth="1"/>
    <col min="17" max="17" width="12.125" style="1" customWidth="1"/>
  </cols>
  <sheetData>
    <row r="1" spans="3:20" ht="15.75">
      <c r="C1" s="101" t="s">
        <v>17</v>
      </c>
      <c r="D1" s="101"/>
      <c r="E1" s="101"/>
      <c r="F1" s="101"/>
      <c r="G1" s="101"/>
      <c r="H1" s="101"/>
      <c r="I1" s="101"/>
      <c r="J1" s="101"/>
      <c r="K1" s="101"/>
      <c r="L1" s="101"/>
      <c r="N1" s="101" t="s">
        <v>22</v>
      </c>
      <c r="O1" s="101"/>
      <c r="R1" s="2"/>
      <c r="S1" s="2"/>
      <c r="T1" s="2"/>
    </row>
    <row r="2" spans="2:17" ht="34.5" customHeight="1" thickBot="1">
      <c r="B2" s="3" t="s">
        <v>15</v>
      </c>
      <c r="C2" s="11" t="s">
        <v>65</v>
      </c>
      <c r="D2" s="11" t="s">
        <v>64</v>
      </c>
      <c r="E2" s="11" t="s">
        <v>63</v>
      </c>
      <c r="F2" s="11" t="s">
        <v>62</v>
      </c>
      <c r="G2" s="11" t="s">
        <v>61</v>
      </c>
      <c r="H2" s="11" t="s">
        <v>60</v>
      </c>
      <c r="I2" s="11" t="s">
        <v>116</v>
      </c>
      <c r="J2" s="11" t="s">
        <v>130</v>
      </c>
      <c r="K2" s="11" t="s">
        <v>176</v>
      </c>
      <c r="L2" s="11"/>
      <c r="M2" s="3" t="s">
        <v>24</v>
      </c>
      <c r="N2" s="3" t="s">
        <v>6</v>
      </c>
      <c r="O2" s="3" t="s">
        <v>23</v>
      </c>
      <c r="P2" s="3" t="s">
        <v>25</v>
      </c>
      <c r="Q2" s="13" t="s">
        <v>134</v>
      </c>
    </row>
    <row r="3" spans="1:17" s="41" customFormat="1" ht="15.75">
      <c r="A3" s="20" t="s">
        <v>145</v>
      </c>
      <c r="B3" s="39" t="s">
        <v>5</v>
      </c>
      <c r="C3" s="39"/>
      <c r="D3" s="68">
        <v>471</v>
      </c>
      <c r="E3" s="20"/>
      <c r="F3" s="20">
        <v>367</v>
      </c>
      <c r="G3" s="20">
        <v>379</v>
      </c>
      <c r="H3" s="20">
        <v>337</v>
      </c>
      <c r="I3" s="39"/>
      <c r="J3" s="39">
        <v>324</v>
      </c>
      <c r="K3" s="68">
        <v>422</v>
      </c>
      <c r="L3" s="57"/>
      <c r="M3" s="49">
        <f aca="true" t="shared" si="0" ref="M3:M15">SUM(C3:L3)</f>
        <v>2300</v>
      </c>
      <c r="N3" s="39">
        <v>2</v>
      </c>
      <c r="O3" s="39">
        <v>6</v>
      </c>
      <c r="P3" s="39">
        <v>-296</v>
      </c>
      <c r="Q3" s="39">
        <v>0</v>
      </c>
    </row>
    <row r="4" spans="1:17" s="38" customFormat="1" ht="15.75">
      <c r="A4" s="19" t="s">
        <v>146</v>
      </c>
      <c r="B4" s="17" t="s">
        <v>4</v>
      </c>
      <c r="C4" s="67">
        <v>445</v>
      </c>
      <c r="D4" s="19">
        <v>199</v>
      </c>
      <c r="E4" s="19">
        <v>348</v>
      </c>
      <c r="F4" s="67">
        <v>437</v>
      </c>
      <c r="G4" s="67">
        <v>424</v>
      </c>
      <c r="H4" s="19">
        <v>188</v>
      </c>
      <c r="I4" s="17"/>
      <c r="J4" s="17"/>
      <c r="K4" s="17">
        <v>413</v>
      </c>
      <c r="L4" s="27"/>
      <c r="M4" s="28">
        <f t="shared" si="0"/>
        <v>2454</v>
      </c>
      <c r="N4" s="17">
        <v>3</v>
      </c>
      <c r="O4" s="17">
        <v>5</v>
      </c>
      <c r="P4" s="17">
        <v>-54</v>
      </c>
      <c r="Q4" s="17">
        <v>0</v>
      </c>
    </row>
    <row r="5" spans="1:17" s="41" customFormat="1" ht="15.75">
      <c r="A5" s="20" t="s">
        <v>147</v>
      </c>
      <c r="B5" s="39" t="s">
        <v>3</v>
      </c>
      <c r="C5" s="39"/>
      <c r="D5" s="68">
        <v>422</v>
      </c>
      <c r="E5" s="20">
        <v>365</v>
      </c>
      <c r="F5" s="20">
        <v>403</v>
      </c>
      <c r="G5" s="20"/>
      <c r="H5" s="20">
        <v>371</v>
      </c>
      <c r="I5" s="39"/>
      <c r="J5" s="39">
        <v>345</v>
      </c>
      <c r="K5" s="39">
        <v>399</v>
      </c>
      <c r="L5" s="57"/>
      <c r="M5" s="49">
        <f t="shared" si="0"/>
        <v>2305</v>
      </c>
      <c r="N5" s="39">
        <v>1</v>
      </c>
      <c r="O5" s="39">
        <v>7</v>
      </c>
      <c r="P5" s="39">
        <v>-268</v>
      </c>
      <c r="Q5" s="39">
        <v>0</v>
      </c>
    </row>
    <row r="6" spans="1:17" s="38" customFormat="1" ht="15.75">
      <c r="A6" s="19" t="s">
        <v>148</v>
      </c>
      <c r="B6" s="17" t="s">
        <v>16</v>
      </c>
      <c r="C6" s="67">
        <v>445</v>
      </c>
      <c r="D6" s="67">
        <v>425</v>
      </c>
      <c r="E6" s="19"/>
      <c r="F6" s="67">
        <v>437</v>
      </c>
      <c r="G6" s="19">
        <v>395</v>
      </c>
      <c r="H6" s="19">
        <v>354</v>
      </c>
      <c r="I6" s="17"/>
      <c r="J6" s="17"/>
      <c r="K6" s="17">
        <v>418</v>
      </c>
      <c r="L6" s="27"/>
      <c r="M6" s="28">
        <f t="shared" si="0"/>
        <v>2474</v>
      </c>
      <c r="N6" s="17">
        <v>3</v>
      </c>
      <c r="O6" s="17">
        <v>5</v>
      </c>
      <c r="P6" s="28">
        <v>-108</v>
      </c>
      <c r="Q6" s="17">
        <v>0</v>
      </c>
    </row>
    <row r="7" spans="1:17" s="41" customFormat="1" ht="15.75">
      <c r="A7" s="20" t="s">
        <v>149</v>
      </c>
      <c r="B7" s="39" t="s">
        <v>14</v>
      </c>
      <c r="C7" s="68">
        <v>449</v>
      </c>
      <c r="D7" s="20"/>
      <c r="E7" s="20">
        <v>406</v>
      </c>
      <c r="F7" s="20"/>
      <c r="G7" s="68">
        <v>419</v>
      </c>
      <c r="H7" s="20">
        <v>326</v>
      </c>
      <c r="I7" s="39"/>
      <c r="J7" s="39">
        <v>349</v>
      </c>
      <c r="K7" s="39">
        <v>393</v>
      </c>
      <c r="L7" s="57"/>
      <c r="M7" s="49">
        <f t="shared" si="0"/>
        <v>2342</v>
      </c>
      <c r="N7" s="39">
        <v>2</v>
      </c>
      <c r="O7" s="39">
        <v>6</v>
      </c>
      <c r="P7" s="39">
        <v>-176</v>
      </c>
      <c r="Q7" s="39">
        <v>0</v>
      </c>
    </row>
    <row r="8" spans="1:17" s="38" customFormat="1" ht="15.75">
      <c r="A8" s="19" t="s">
        <v>150</v>
      </c>
      <c r="B8" s="17" t="s">
        <v>13</v>
      </c>
      <c r="C8" s="67">
        <v>449</v>
      </c>
      <c r="D8" s="67">
        <v>449</v>
      </c>
      <c r="E8" s="19">
        <v>349</v>
      </c>
      <c r="F8" s="19">
        <v>412</v>
      </c>
      <c r="G8" s="19">
        <v>416</v>
      </c>
      <c r="H8" s="19"/>
      <c r="I8" s="17"/>
      <c r="J8" s="17"/>
      <c r="K8" s="67">
        <v>448</v>
      </c>
      <c r="L8" s="27"/>
      <c r="M8" s="28">
        <f t="shared" si="0"/>
        <v>2523</v>
      </c>
      <c r="N8" s="17">
        <v>3</v>
      </c>
      <c r="O8" s="17">
        <v>5</v>
      </c>
      <c r="P8" s="17">
        <v>-15</v>
      </c>
      <c r="Q8" s="17">
        <v>0</v>
      </c>
    </row>
    <row r="9" spans="1:17" s="41" customFormat="1" ht="15.75">
      <c r="A9" s="20" t="s">
        <v>151</v>
      </c>
      <c r="B9" s="39" t="s">
        <v>12</v>
      </c>
      <c r="C9" s="68">
        <v>445</v>
      </c>
      <c r="D9" s="20">
        <v>201</v>
      </c>
      <c r="E9" s="20"/>
      <c r="F9" s="68">
        <v>456</v>
      </c>
      <c r="G9" s="20">
        <v>392</v>
      </c>
      <c r="H9" s="20">
        <v>191</v>
      </c>
      <c r="I9" s="39"/>
      <c r="J9" s="39">
        <v>331</v>
      </c>
      <c r="K9" s="39">
        <v>406</v>
      </c>
      <c r="L9" s="57"/>
      <c r="M9" s="49">
        <f t="shared" si="0"/>
        <v>2422</v>
      </c>
      <c r="N9" s="39">
        <v>2</v>
      </c>
      <c r="O9" s="39">
        <v>6</v>
      </c>
      <c r="P9" s="39">
        <v>-243</v>
      </c>
      <c r="Q9" s="39">
        <v>0</v>
      </c>
    </row>
    <row r="10" spans="1:17" s="38" customFormat="1" ht="15.75">
      <c r="A10" s="19" t="s">
        <v>152</v>
      </c>
      <c r="B10" s="17" t="s">
        <v>11</v>
      </c>
      <c r="C10" s="67">
        <v>425</v>
      </c>
      <c r="D10" s="67">
        <v>448</v>
      </c>
      <c r="E10" s="17">
        <v>385</v>
      </c>
      <c r="F10" s="67">
        <v>433</v>
      </c>
      <c r="G10" s="17"/>
      <c r="H10" s="17">
        <v>394</v>
      </c>
      <c r="I10" s="17"/>
      <c r="J10" s="17"/>
      <c r="K10" s="17">
        <v>351</v>
      </c>
      <c r="L10" s="27"/>
      <c r="M10" s="28">
        <f t="shared" si="0"/>
        <v>2436</v>
      </c>
      <c r="N10" s="17">
        <v>3</v>
      </c>
      <c r="O10" s="17">
        <v>5</v>
      </c>
      <c r="P10" s="17">
        <v>-72</v>
      </c>
      <c r="Q10" s="17">
        <v>0</v>
      </c>
    </row>
    <row r="11" spans="1:17" s="41" customFormat="1" ht="15.75">
      <c r="A11" s="20" t="s">
        <v>153</v>
      </c>
      <c r="B11" s="61" t="s">
        <v>10</v>
      </c>
      <c r="C11" s="39"/>
      <c r="D11" s="68">
        <v>426</v>
      </c>
      <c r="E11" s="39">
        <v>365</v>
      </c>
      <c r="F11" s="68">
        <v>434</v>
      </c>
      <c r="G11" s="68">
        <v>413</v>
      </c>
      <c r="H11" s="39"/>
      <c r="I11" s="39"/>
      <c r="J11" s="39">
        <v>321</v>
      </c>
      <c r="K11" s="68">
        <v>417</v>
      </c>
      <c r="L11" s="57"/>
      <c r="M11" s="49">
        <f t="shared" si="0"/>
        <v>2376</v>
      </c>
      <c r="N11" s="39">
        <v>4</v>
      </c>
      <c r="O11" s="39">
        <v>4</v>
      </c>
      <c r="P11" s="39">
        <v>-112</v>
      </c>
      <c r="Q11" s="39">
        <v>1</v>
      </c>
    </row>
    <row r="12" spans="1:13" ht="15.75">
      <c r="A12" s="12" t="s">
        <v>154</v>
      </c>
      <c r="B12" s="1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7">
        <f t="shared" si="0"/>
        <v>0</v>
      </c>
    </row>
    <row r="13" spans="1:17" s="41" customFormat="1" ht="15.75">
      <c r="A13" s="20" t="s">
        <v>155</v>
      </c>
      <c r="B13" s="39" t="s">
        <v>8</v>
      </c>
      <c r="C13" s="68">
        <v>462</v>
      </c>
      <c r="D13" s="68">
        <v>426</v>
      </c>
      <c r="E13" s="39"/>
      <c r="F13" s="68">
        <v>436</v>
      </c>
      <c r="G13" s="39">
        <v>404</v>
      </c>
      <c r="H13" s="39">
        <v>377</v>
      </c>
      <c r="I13" s="39"/>
      <c r="J13" s="39"/>
      <c r="K13" s="68">
        <v>461</v>
      </c>
      <c r="L13" s="57"/>
      <c r="M13" s="49">
        <f t="shared" si="0"/>
        <v>2566</v>
      </c>
      <c r="N13" s="39">
        <v>6</v>
      </c>
      <c r="O13" s="39">
        <v>2</v>
      </c>
      <c r="P13" s="39">
        <v>51</v>
      </c>
      <c r="Q13" s="39">
        <v>2</v>
      </c>
    </row>
    <row r="14" spans="1:17" s="38" customFormat="1" ht="15.75">
      <c r="A14" s="19" t="s">
        <v>156</v>
      </c>
      <c r="B14" s="17" t="s">
        <v>0</v>
      </c>
      <c r="C14" s="67">
        <v>420</v>
      </c>
      <c r="D14" s="17">
        <v>401</v>
      </c>
      <c r="E14" s="17">
        <v>354</v>
      </c>
      <c r="F14" s="17">
        <v>403</v>
      </c>
      <c r="G14" s="17"/>
      <c r="H14" s="17">
        <v>380</v>
      </c>
      <c r="I14" s="17"/>
      <c r="J14" s="17"/>
      <c r="K14" s="17">
        <v>392</v>
      </c>
      <c r="L14" s="27"/>
      <c r="M14" s="28">
        <f t="shared" si="0"/>
        <v>2350</v>
      </c>
      <c r="N14" s="17">
        <v>1</v>
      </c>
      <c r="O14" s="17">
        <v>7</v>
      </c>
      <c r="P14" s="17">
        <v>-135</v>
      </c>
      <c r="Q14" s="17">
        <v>0</v>
      </c>
    </row>
    <row r="15" spans="1:17" s="41" customFormat="1" ht="15.75">
      <c r="A15" s="20" t="s">
        <v>157</v>
      </c>
      <c r="B15" s="39" t="s">
        <v>1</v>
      </c>
      <c r="C15" s="39">
        <v>391</v>
      </c>
      <c r="D15" s="68">
        <v>442</v>
      </c>
      <c r="E15" s="39">
        <v>413</v>
      </c>
      <c r="F15" s="68">
        <v>442</v>
      </c>
      <c r="G15" s="68">
        <v>431</v>
      </c>
      <c r="H15" s="39"/>
      <c r="I15" s="39"/>
      <c r="J15" s="39"/>
      <c r="K15" s="39">
        <v>405</v>
      </c>
      <c r="L15" s="57"/>
      <c r="M15" s="49">
        <f t="shared" si="0"/>
        <v>2524</v>
      </c>
      <c r="N15" s="39">
        <v>3</v>
      </c>
      <c r="O15" s="39">
        <v>5</v>
      </c>
      <c r="P15" s="39">
        <v>-76</v>
      </c>
      <c r="Q15" s="39">
        <v>0</v>
      </c>
    </row>
    <row r="16" spans="1:17" s="38" customFormat="1" ht="15.75">
      <c r="A16" s="19" t="s">
        <v>158</v>
      </c>
      <c r="B16" s="17" t="s">
        <v>18</v>
      </c>
      <c r="C16" s="67">
        <v>435</v>
      </c>
      <c r="D16" s="17">
        <v>406</v>
      </c>
      <c r="E16" s="17">
        <v>369</v>
      </c>
      <c r="F16" s="67">
        <v>427</v>
      </c>
      <c r="G16" s="17"/>
      <c r="H16" s="17">
        <v>366</v>
      </c>
      <c r="I16" s="17"/>
      <c r="J16" s="17"/>
      <c r="K16" s="17">
        <v>426</v>
      </c>
      <c r="L16" s="27"/>
      <c r="M16" s="28">
        <f>SUM(C16:L16)</f>
        <v>2429</v>
      </c>
      <c r="N16" s="17">
        <v>2</v>
      </c>
      <c r="O16" s="17">
        <v>6</v>
      </c>
      <c r="P16" s="17">
        <v>-144</v>
      </c>
      <c r="Q16" s="17">
        <v>0</v>
      </c>
    </row>
    <row r="17" spans="1:17" s="38" customFormat="1" ht="16.5" thickBot="1">
      <c r="A17" s="19" t="s">
        <v>159</v>
      </c>
      <c r="B17" s="17" t="s">
        <v>2</v>
      </c>
      <c r="C17" s="97">
        <v>463</v>
      </c>
      <c r="D17" s="42">
        <v>411</v>
      </c>
      <c r="E17" s="42"/>
      <c r="F17" s="97">
        <v>421</v>
      </c>
      <c r="G17" s="42"/>
      <c r="H17" s="42">
        <v>386</v>
      </c>
      <c r="I17" s="42">
        <v>361</v>
      </c>
      <c r="J17" s="42"/>
      <c r="K17" s="42">
        <v>404</v>
      </c>
      <c r="L17" s="51"/>
      <c r="M17" s="47">
        <f>SUM(C17:L17)</f>
        <v>2446</v>
      </c>
      <c r="N17" s="42">
        <v>2</v>
      </c>
      <c r="O17" s="42">
        <v>6</v>
      </c>
      <c r="P17" s="42">
        <v>-104</v>
      </c>
      <c r="Q17" s="42">
        <v>0</v>
      </c>
    </row>
    <row r="18" spans="3:12" ht="16.5" thickTop="1">
      <c r="C18" s="7">
        <f>SUM(C3:C17)</f>
        <v>4829</v>
      </c>
      <c r="D18" s="7">
        <f aca="true" t="shared" si="1" ref="D18:L18">SUM(D3:D17)</f>
        <v>5127</v>
      </c>
      <c r="E18" s="7">
        <f t="shared" si="1"/>
        <v>3354</v>
      </c>
      <c r="F18" s="7">
        <f t="shared" si="1"/>
        <v>5508</v>
      </c>
      <c r="G18" s="7">
        <f t="shared" si="1"/>
        <v>3673</v>
      </c>
      <c r="H18" s="7">
        <f t="shared" si="1"/>
        <v>3670</v>
      </c>
      <c r="I18" s="7">
        <f t="shared" si="1"/>
        <v>361</v>
      </c>
      <c r="J18" s="7">
        <f t="shared" si="1"/>
        <v>1670</v>
      </c>
      <c r="K18" s="7">
        <f t="shared" si="1"/>
        <v>5755</v>
      </c>
      <c r="L18" s="7">
        <f t="shared" si="1"/>
        <v>0</v>
      </c>
    </row>
    <row r="19" spans="2:17" ht="36" customHeight="1">
      <c r="B19" s="93" t="s">
        <v>206</v>
      </c>
      <c r="C19" s="94">
        <f>C18/11</f>
        <v>439</v>
      </c>
      <c r="D19" s="94">
        <f>D18/12</f>
        <v>427.25</v>
      </c>
      <c r="E19" s="94">
        <f>E18/9</f>
        <v>372.6666666666667</v>
      </c>
      <c r="F19" s="94">
        <f>F18/13</f>
        <v>423.6923076923077</v>
      </c>
      <c r="G19" s="94">
        <f>G18/9</f>
        <v>408.1111111111111</v>
      </c>
      <c r="H19" s="94">
        <f>H18/10</f>
        <v>367</v>
      </c>
      <c r="I19" s="94">
        <f>I18/1</f>
        <v>361</v>
      </c>
      <c r="J19" s="94">
        <f>J18/5</f>
        <v>334</v>
      </c>
      <c r="K19" s="94">
        <f>K18/14</f>
        <v>411.07142857142856</v>
      </c>
      <c r="M19" s="3" t="s">
        <v>24</v>
      </c>
      <c r="N19" s="101" t="s">
        <v>135</v>
      </c>
      <c r="O19" s="101"/>
      <c r="P19" s="3" t="s">
        <v>25</v>
      </c>
      <c r="Q19" s="13" t="s">
        <v>136</v>
      </c>
    </row>
    <row r="20" spans="13:17" ht="15.75">
      <c r="M20" s="7">
        <f>SUM(M3:M17)</f>
        <v>33947</v>
      </c>
      <c r="N20" s="1">
        <f>SUM(N3:N17)+36</f>
        <v>73</v>
      </c>
      <c r="O20" s="1">
        <f>SUM(O3:O17)+76</f>
        <v>151</v>
      </c>
      <c r="P20" s="1">
        <f>SUM(P3:P17)</f>
        <v>-1752</v>
      </c>
      <c r="Q20" s="1">
        <f>SUM(Q3:Q17)+2</f>
        <v>5</v>
      </c>
    </row>
    <row r="21" spans="3:4" ht="15.75">
      <c r="C21" s="103" t="s">
        <v>39</v>
      </c>
      <c r="D21" s="103"/>
    </row>
    <row r="22" spans="3:15" ht="15.75">
      <c r="C22" s="104" t="s">
        <v>160</v>
      </c>
      <c r="D22" s="104"/>
      <c r="N22" s="106" t="s">
        <v>170</v>
      </c>
      <c r="O22" s="106"/>
    </row>
    <row r="23" spans="3:15" ht="15.75">
      <c r="C23" s="105" t="s">
        <v>161</v>
      </c>
      <c r="D23" s="105"/>
      <c r="N23" s="107">
        <f>N20-O20</f>
        <v>-78</v>
      </c>
      <c r="O23" s="107"/>
    </row>
    <row r="25" spans="3:20" ht="15.75">
      <c r="C25" s="29" t="s">
        <v>162</v>
      </c>
      <c r="R25" s="2"/>
      <c r="S25" s="2"/>
      <c r="T25" s="2"/>
    </row>
    <row r="26" spans="2:20" ht="19.5" customHeight="1">
      <c r="B26" s="3" t="s">
        <v>163</v>
      </c>
      <c r="C26" s="3" t="s">
        <v>164</v>
      </c>
      <c r="D26" s="3" t="s">
        <v>165</v>
      </c>
      <c r="E26" s="3" t="s">
        <v>166</v>
      </c>
      <c r="F26" s="101" t="s">
        <v>135</v>
      </c>
      <c r="G26" s="101"/>
      <c r="H26" s="101" t="s">
        <v>182</v>
      </c>
      <c r="I26" s="101"/>
      <c r="J26" s="102" t="s">
        <v>136</v>
      </c>
      <c r="K26" s="102"/>
      <c r="R26" s="2"/>
      <c r="S26" s="2"/>
      <c r="T26" s="2"/>
    </row>
    <row r="27" spans="2:20" ht="15.75">
      <c r="B27" s="1" t="s">
        <v>192</v>
      </c>
      <c r="C27" s="1">
        <v>2</v>
      </c>
      <c r="E27" s="1">
        <v>12</v>
      </c>
      <c r="F27" s="1">
        <v>36</v>
      </c>
      <c r="G27" s="1">
        <v>76</v>
      </c>
      <c r="H27" s="109">
        <v>2388</v>
      </c>
      <c r="I27" s="109"/>
      <c r="J27" s="109">
        <v>4</v>
      </c>
      <c r="K27" s="109"/>
      <c r="M27" s="101" t="s">
        <v>182</v>
      </c>
      <c r="N27" s="101"/>
      <c r="O27" s="7">
        <f>AVERAGE(M3,M4,M5,M6,M7,M9,M10,M11,M13,M14,M15,M8,M16,M17)</f>
        <v>2424.785714285714</v>
      </c>
      <c r="R27" s="2"/>
      <c r="S27" s="2"/>
      <c r="T27" s="2"/>
    </row>
    <row r="28" spans="3:20" ht="15.75">
      <c r="C28" s="29" t="s">
        <v>167</v>
      </c>
      <c r="R28" s="2"/>
      <c r="S28" s="2"/>
      <c r="T28" s="2"/>
    </row>
    <row r="29" spans="3:20" ht="34.5" customHeight="1">
      <c r="C29" s="3" t="s">
        <v>164</v>
      </c>
      <c r="D29" s="3" t="s">
        <v>165</v>
      </c>
      <c r="E29" s="3" t="s">
        <v>166</v>
      </c>
      <c r="F29" s="101" t="s">
        <v>135</v>
      </c>
      <c r="G29" s="101"/>
      <c r="H29" s="101" t="s">
        <v>24</v>
      </c>
      <c r="I29" s="101"/>
      <c r="J29" s="102" t="s">
        <v>168</v>
      </c>
      <c r="K29" s="102"/>
      <c r="R29" s="2"/>
      <c r="S29" s="2"/>
      <c r="T29" s="2"/>
    </row>
    <row r="30" spans="5:20" ht="15.75">
      <c r="E30" s="1">
        <v>7</v>
      </c>
      <c r="F30" s="1">
        <f>N4+N6+N8+N10+N14+N16+N17</f>
        <v>17</v>
      </c>
      <c r="G30" s="1">
        <f>O4+O6+O8+O10+O14+O16+O17</f>
        <v>39</v>
      </c>
      <c r="H30" s="108">
        <f>M4+M6+M8+M10+M14+M16+M17</f>
        <v>17112</v>
      </c>
      <c r="I30" s="109"/>
      <c r="J30" s="109">
        <f>Q4+Q6+Q8+Q10+Q14+Q16+Q17</f>
        <v>0</v>
      </c>
      <c r="K30" s="109"/>
      <c r="R30" s="2"/>
      <c r="S30" s="2"/>
      <c r="T30" s="2"/>
    </row>
    <row r="31" spans="3:20" ht="15.75">
      <c r="C31" s="29" t="s">
        <v>169</v>
      </c>
      <c r="R31" s="2"/>
      <c r="S31" s="2"/>
      <c r="T31" s="2"/>
    </row>
    <row r="32" spans="3:20" ht="29.25" customHeight="1">
      <c r="C32" s="3" t="s">
        <v>164</v>
      </c>
      <c r="D32" s="3" t="s">
        <v>165</v>
      </c>
      <c r="E32" s="3" t="s">
        <v>166</v>
      </c>
      <c r="F32" s="101" t="s">
        <v>135</v>
      </c>
      <c r="G32" s="101"/>
      <c r="H32" s="101" t="s">
        <v>24</v>
      </c>
      <c r="I32" s="101"/>
      <c r="J32" s="102" t="s">
        <v>168</v>
      </c>
      <c r="K32" s="102"/>
      <c r="R32" s="2"/>
      <c r="S32" s="2"/>
      <c r="T32" s="2"/>
    </row>
    <row r="33" spans="3:20" ht="15.75">
      <c r="C33" s="1">
        <v>1</v>
      </c>
      <c r="D33" s="1">
        <v>1</v>
      </c>
      <c r="E33" s="1">
        <v>5</v>
      </c>
      <c r="F33" s="7">
        <f>N3+N5+N7+N9+N11+N13+N15</f>
        <v>20</v>
      </c>
      <c r="G33" s="7">
        <f>O3+O5+O7+O9+O11+O13+O15</f>
        <v>36</v>
      </c>
      <c r="H33" s="108">
        <f>M3+M5+M7+M9+M11+M13+M15</f>
        <v>16835</v>
      </c>
      <c r="I33" s="109"/>
      <c r="J33" s="108">
        <f>Q3+Q5+Q7+Q9+Q11+Q13+Q15</f>
        <v>3</v>
      </c>
      <c r="K33" s="109"/>
      <c r="R33" s="2"/>
      <c r="S33" s="2"/>
      <c r="T33" s="2"/>
    </row>
  </sheetData>
  <mergeCells count="24">
    <mergeCell ref="M27:N27"/>
    <mergeCell ref="H33:I33"/>
    <mergeCell ref="J33:K33"/>
    <mergeCell ref="H30:I30"/>
    <mergeCell ref="J30:K30"/>
    <mergeCell ref="J32:K32"/>
    <mergeCell ref="J26:K26"/>
    <mergeCell ref="H27:I27"/>
    <mergeCell ref="J27:K27"/>
    <mergeCell ref="H29:I29"/>
    <mergeCell ref="J29:K29"/>
    <mergeCell ref="F26:G26"/>
    <mergeCell ref="H26:I26"/>
    <mergeCell ref="F32:G32"/>
    <mergeCell ref="H32:I32"/>
    <mergeCell ref="F29:G29"/>
    <mergeCell ref="N22:O22"/>
    <mergeCell ref="N23:O23"/>
    <mergeCell ref="C1:L1"/>
    <mergeCell ref="N1:O1"/>
    <mergeCell ref="C21:D21"/>
    <mergeCell ref="N19:O19"/>
    <mergeCell ref="C22:D22"/>
    <mergeCell ref="C23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dcterms:created xsi:type="dcterms:W3CDTF">2008-09-16T07:00:15Z</dcterms:created>
  <dcterms:modified xsi:type="dcterms:W3CDTF">2009-05-06T17:59:10Z</dcterms:modified>
  <cp:category/>
  <cp:version/>
  <cp:contentType/>
  <cp:contentStatus/>
</cp:coreProperties>
</file>